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 activeTab="4"/>
  </bookViews>
  <sheets>
    <sheet name="国家级比赛 " sheetId="1" r:id="rId1"/>
    <sheet name="全国级比赛" sheetId="2" r:id="rId2"/>
    <sheet name="A级比赛 " sheetId="3" r:id="rId3"/>
    <sheet name=" B1级比赛" sheetId="4" r:id="rId4"/>
    <sheet name=" B2级比赛 " sheetId="5" r:id="rId5"/>
  </sheets>
  <calcPr calcId="144525"/>
</workbook>
</file>

<file path=xl/sharedStrings.xml><?xml version="1.0" encoding="utf-8"?>
<sst xmlns="http://schemas.openxmlformats.org/spreadsheetml/2006/main" count="126">
  <si>
    <t>表4：国家级比赛银分奖励表</t>
  </si>
  <si>
    <t>比赛规模/人</t>
  </si>
  <si>
    <t>第1名</t>
  </si>
  <si>
    <t>第2名</t>
  </si>
  <si>
    <t>第3名</t>
  </si>
  <si>
    <t>第4名</t>
  </si>
  <si>
    <t>第5名</t>
  </si>
  <si>
    <t>第6名</t>
  </si>
  <si>
    <t>第7名</t>
  </si>
  <si>
    <t>第8名</t>
  </si>
  <si>
    <t>第9名</t>
  </si>
  <si>
    <t>第10名</t>
  </si>
  <si>
    <t>第11名</t>
  </si>
  <si>
    <t>第12名</t>
  </si>
  <si>
    <t>第13名</t>
  </si>
  <si>
    <t>第14名</t>
  </si>
  <si>
    <t>第15名</t>
  </si>
  <si>
    <t>第16名</t>
  </si>
  <si>
    <t>第17名</t>
  </si>
  <si>
    <t>第18名</t>
  </si>
  <si>
    <t>第19名</t>
  </si>
  <si>
    <t>第20名</t>
  </si>
  <si>
    <t>第21名</t>
  </si>
  <si>
    <t>第22名</t>
  </si>
  <si>
    <t>第23名</t>
  </si>
  <si>
    <t>第24名</t>
  </si>
  <si>
    <t>第25名</t>
  </si>
  <si>
    <t>第26名</t>
  </si>
  <si>
    <t>第27名</t>
  </si>
  <si>
    <t>第28名</t>
  </si>
  <si>
    <t>第29名</t>
  </si>
  <si>
    <t>第30名</t>
  </si>
  <si>
    <t>第31名</t>
  </si>
  <si>
    <t>第32名</t>
  </si>
  <si>
    <t>第33名</t>
  </si>
  <si>
    <t>第34名</t>
  </si>
  <si>
    <t>第35名</t>
  </si>
  <si>
    <t>第36名</t>
  </si>
  <si>
    <t>第37名</t>
  </si>
  <si>
    <t>第38名</t>
  </si>
  <si>
    <t>第39名</t>
  </si>
  <si>
    <t>第40名</t>
  </si>
  <si>
    <t>第41名</t>
  </si>
  <si>
    <t>第42名</t>
  </si>
  <si>
    <t>第43名</t>
  </si>
  <si>
    <t>第44名</t>
  </si>
  <si>
    <t>第45名</t>
  </si>
  <si>
    <t>第46名</t>
  </si>
  <si>
    <t>第47名</t>
  </si>
  <si>
    <t>第48名</t>
  </si>
  <si>
    <t>第49名</t>
  </si>
  <si>
    <t>第50名</t>
  </si>
  <si>
    <t>第51-75名</t>
  </si>
  <si>
    <t>第76-100名</t>
  </si>
  <si>
    <t>第101-150名</t>
  </si>
  <si>
    <t>第151-200名</t>
  </si>
  <si>
    <t>第201-300名</t>
  </si>
  <si>
    <t>第301-400名</t>
  </si>
  <si>
    <t>第401-500名</t>
  </si>
  <si>
    <t>第501-750名</t>
  </si>
  <si>
    <t>第751-1000名</t>
  </si>
  <si>
    <t>第1001-1500名</t>
  </si>
  <si>
    <t>第1501-2000名</t>
  </si>
  <si>
    <t>第2001-3000名</t>
  </si>
  <si>
    <t>第3001-4000名</t>
  </si>
  <si>
    <t>第4001-5000名</t>
  </si>
  <si>
    <t>2~4</t>
  </si>
  <si>
    <t>5~8</t>
  </si>
  <si>
    <t>9~11</t>
  </si>
  <si>
    <t>12~14</t>
  </si>
  <si>
    <t>15-18</t>
  </si>
  <si>
    <t>19-21</t>
  </si>
  <si>
    <t>22-24</t>
  </si>
  <si>
    <t>25-28</t>
  </si>
  <si>
    <t>29-31</t>
  </si>
  <si>
    <t>32-34</t>
  </si>
  <si>
    <t>35-38</t>
  </si>
  <si>
    <t>39-41</t>
  </si>
  <si>
    <t>42-44</t>
  </si>
  <si>
    <t>45-48</t>
  </si>
  <si>
    <t>49-51</t>
  </si>
  <si>
    <t>52-54</t>
  </si>
  <si>
    <t>55-58</t>
  </si>
  <si>
    <t>59-61</t>
  </si>
  <si>
    <t>62-64</t>
  </si>
  <si>
    <t>65-68</t>
  </si>
  <si>
    <t>69-71</t>
  </si>
  <si>
    <t>72-75</t>
  </si>
  <si>
    <t>76-78</t>
  </si>
  <si>
    <t>79-84</t>
  </si>
  <si>
    <t>85-88</t>
  </si>
  <si>
    <t>89-95</t>
  </si>
  <si>
    <t>96-98</t>
  </si>
  <si>
    <t>99-104</t>
  </si>
  <si>
    <t>105-108</t>
  </si>
  <si>
    <t>109-115</t>
  </si>
  <si>
    <t>116-118</t>
  </si>
  <si>
    <t>119-124</t>
  </si>
  <si>
    <t>125-129</t>
  </si>
  <si>
    <t>130-134</t>
  </si>
  <si>
    <t>135-139</t>
  </si>
  <si>
    <t>140-144</t>
  </si>
  <si>
    <t>145-149</t>
  </si>
  <si>
    <t>150-154</t>
  </si>
  <si>
    <t>155-159</t>
  </si>
  <si>
    <t>160-164</t>
  </si>
  <si>
    <t>165-169</t>
  </si>
  <si>
    <t>170-251</t>
  </si>
  <si>
    <t>252-335</t>
  </si>
  <si>
    <t>336-500</t>
  </si>
  <si>
    <t>501-670</t>
  </si>
  <si>
    <t>671-1000</t>
  </si>
  <si>
    <t>1001-1400</t>
  </si>
  <si>
    <t>1401-1700</t>
  </si>
  <si>
    <t>1701-2500</t>
  </si>
  <si>
    <t>2501-3400</t>
  </si>
  <si>
    <t>3401-5000</t>
  </si>
  <si>
    <t>5001-7000</t>
  </si>
  <si>
    <t>7001-10000</t>
  </si>
  <si>
    <t>10001-15000</t>
  </si>
  <si>
    <t>15001-20000</t>
  </si>
  <si>
    <t>表4：全国级比赛银分奖励表</t>
  </si>
  <si>
    <r>
      <rPr>
        <sz val="9"/>
        <rFont val="宋体"/>
        <charset val="134"/>
      </rPr>
      <t>表4：A</t>
    </r>
    <r>
      <rPr>
        <sz val="9"/>
        <rFont val="宋体"/>
        <charset val="134"/>
      </rPr>
      <t>级比赛银分奖励表</t>
    </r>
  </si>
  <si>
    <r>
      <rPr>
        <sz val="9"/>
        <rFont val="宋体"/>
        <charset val="134"/>
      </rPr>
      <t>表4：B</t>
    </r>
    <r>
      <rPr>
        <sz val="9"/>
        <rFont val="宋体"/>
        <charset val="134"/>
      </rPr>
      <t>1</t>
    </r>
    <r>
      <rPr>
        <sz val="9"/>
        <rFont val="宋体"/>
        <charset val="134"/>
      </rPr>
      <t>级比赛银分奖励表</t>
    </r>
  </si>
  <si>
    <r>
      <rPr>
        <sz val="9"/>
        <rFont val="宋体"/>
        <charset val="134"/>
      </rPr>
      <t>表4：B</t>
    </r>
    <r>
      <rPr>
        <sz val="9"/>
        <rFont val="宋体"/>
        <charset val="134"/>
      </rPr>
      <t>2</t>
    </r>
    <r>
      <rPr>
        <sz val="9"/>
        <rFont val="宋体"/>
        <charset val="134"/>
      </rPr>
      <t>级比赛银分奖励表</t>
    </r>
  </si>
  <si>
    <t>15001以上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</si>
</sst>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indexed="47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0" fillId="16" borderId="6" applyNumberFormat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2" fillId="0" borderId="0"/>
  </cellStyleXfs>
  <cellXfs count="28">
    <xf numFmtId="0" fontId="0" fillId="0" borderId="0" xfId="0"/>
    <xf numFmtId="176" fontId="1" fillId="0" borderId="0" xfId="49" applyNumberFormat="1" applyFont="1" applyAlignment="1">
      <alignment horizontal="center"/>
    </xf>
    <xf numFmtId="176" fontId="1" fillId="2" borderId="0" xfId="49" applyNumberFormat="1" applyFont="1" applyFill="1"/>
    <xf numFmtId="176" fontId="1" fillId="0" borderId="0" xfId="49" applyNumberFormat="1" applyFont="1" applyFill="1"/>
    <xf numFmtId="176" fontId="1" fillId="0" borderId="0" xfId="49" applyNumberFormat="1" applyFont="1" applyBorder="1"/>
    <xf numFmtId="176" fontId="1" fillId="0" borderId="0" xfId="49" applyNumberFormat="1" applyFont="1"/>
    <xf numFmtId="176" fontId="1" fillId="0" borderId="0" xfId="49" applyNumberFormat="1" applyFont="1" applyAlignment="1">
      <alignment horizontal="right"/>
    </xf>
    <xf numFmtId="176" fontId="1" fillId="0" borderId="0" xfId="49" applyNumberFormat="1" applyFont="1" applyAlignment="1">
      <alignment horizontal="left"/>
    </xf>
    <xf numFmtId="176" fontId="2" fillId="0" borderId="0" xfId="49" applyNumberFormat="1" applyFont="1" applyAlignment="1">
      <alignment horizontal="center"/>
    </xf>
    <xf numFmtId="176" fontId="1" fillId="0" borderId="1" xfId="49" applyNumberFormat="1" applyFont="1" applyBorder="1" applyAlignment="1">
      <alignment horizontal="center" wrapText="1"/>
    </xf>
    <xf numFmtId="176" fontId="1" fillId="0" borderId="1" xfId="49" applyNumberFormat="1" applyFont="1" applyFill="1" applyBorder="1" applyAlignment="1">
      <alignment horizontal="center" wrapText="1"/>
    </xf>
    <xf numFmtId="176" fontId="1" fillId="0" borderId="1" xfId="49" applyNumberFormat="1" applyFont="1" applyBorder="1" applyAlignment="1">
      <alignment horizontal="right" wrapText="1"/>
    </xf>
    <xf numFmtId="176" fontId="1" fillId="0" borderId="1" xfId="49" applyNumberFormat="1" applyFont="1" applyFill="1" applyBorder="1" applyAlignment="1">
      <alignment wrapText="1"/>
    </xf>
    <xf numFmtId="176" fontId="1" fillId="3" borderId="1" xfId="49" applyNumberFormat="1" applyFont="1" applyFill="1" applyBorder="1" applyAlignment="1">
      <alignment wrapText="1"/>
    </xf>
    <xf numFmtId="176" fontId="1" fillId="4" borderId="1" xfId="49" applyNumberFormat="1" applyFont="1" applyFill="1" applyBorder="1" applyAlignment="1">
      <alignment wrapText="1"/>
    </xf>
    <xf numFmtId="176" fontId="1" fillId="0" borderId="1" xfId="49" applyNumberFormat="1" applyFont="1" applyBorder="1" applyAlignment="1">
      <alignment wrapText="1"/>
    </xf>
    <xf numFmtId="176" fontId="1" fillId="2" borderId="1" xfId="49" applyNumberFormat="1" applyFont="1" applyFill="1" applyBorder="1" applyAlignment="1">
      <alignment horizontal="right" wrapText="1"/>
    </xf>
    <xf numFmtId="176" fontId="1" fillId="2" borderId="1" xfId="49" applyNumberFormat="1" applyFont="1" applyFill="1" applyBorder="1" applyAlignment="1">
      <alignment wrapText="1"/>
    </xf>
    <xf numFmtId="176" fontId="1" fillId="0" borderId="1" xfId="49" applyNumberFormat="1" applyFont="1" applyFill="1" applyBorder="1" applyAlignment="1">
      <alignment horizontal="right" wrapText="1"/>
    </xf>
    <xf numFmtId="176" fontId="1" fillId="0" borderId="0" xfId="49" applyNumberFormat="1" applyFont="1" applyBorder="1" applyAlignment="1">
      <alignment horizontal="right" wrapText="1"/>
    </xf>
    <xf numFmtId="176" fontId="1" fillId="4" borderId="1" xfId="49" applyNumberFormat="1" applyFont="1" applyFill="1" applyBorder="1" applyAlignment="1">
      <alignment horizontal="right" wrapText="1"/>
    </xf>
    <xf numFmtId="176" fontId="1" fillId="3" borderId="1" xfId="49" applyNumberFormat="1" applyFont="1" applyFill="1" applyBorder="1" applyAlignment="1">
      <alignment horizontal="right" wrapText="1"/>
    </xf>
    <xf numFmtId="176" fontId="1" fillId="0" borderId="0" xfId="49" applyNumberFormat="1" applyFont="1" applyBorder="1" applyAlignment="1">
      <alignment horizontal="center" wrapText="1"/>
    </xf>
    <xf numFmtId="176" fontId="1" fillId="0" borderId="0" xfId="49" applyNumberFormat="1" applyFont="1" applyFill="1" applyBorder="1" applyAlignment="1">
      <alignment horizontal="right" wrapText="1"/>
    </xf>
    <xf numFmtId="176" fontId="1" fillId="0" borderId="2" xfId="49" applyNumberFormat="1" applyFont="1" applyBorder="1" applyAlignment="1">
      <alignment horizontal="right" wrapText="1"/>
    </xf>
    <xf numFmtId="176" fontId="1" fillId="3" borderId="0" xfId="49" applyNumberFormat="1" applyFont="1" applyFill="1"/>
    <xf numFmtId="176" fontId="1" fillId="0" borderId="2" xfId="49" applyNumberFormat="1" applyFont="1" applyFill="1" applyBorder="1" applyAlignment="1">
      <alignment horizontal="right" wrapText="1"/>
    </xf>
    <xf numFmtId="176" fontId="1" fillId="0" borderId="0" xfId="49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F77"/>
  <sheetViews>
    <sheetView topLeftCell="A33" workbookViewId="0">
      <selection activeCell="A59" sqref="$A59:$XFD59"/>
    </sheetView>
  </sheetViews>
  <sheetFormatPr defaultColWidth="9" defaultRowHeight="10.8"/>
  <cols>
    <col min="1" max="7" width="9" style="5"/>
    <col min="8" max="8" width="9.75" style="5" customWidth="1"/>
    <col min="9" max="37" width="9" style="5"/>
    <col min="38" max="58" width="9" style="6"/>
    <col min="59" max="59" width="9" style="5"/>
    <col min="60" max="60" width="11.3796296296296" style="5" customWidth="1"/>
    <col min="61" max="61" width="12.1296296296296" style="5" customWidth="1"/>
    <col min="62" max="62" width="12.75" style="5" customWidth="1"/>
    <col min="63" max="63" width="11.8796296296296" style="5" customWidth="1"/>
    <col min="64" max="64" width="12" style="5" customWidth="1"/>
    <col min="65" max="65" width="13" style="5" customWidth="1"/>
    <col min="66" max="16384" width="9" style="5"/>
  </cols>
  <sheetData>
    <row r="1" spans="1:8">
      <c r="A1" s="7" t="s">
        <v>0</v>
      </c>
      <c r="B1" s="7"/>
      <c r="C1" s="7"/>
      <c r="D1" s="7"/>
      <c r="E1" s="7"/>
      <c r="F1" s="7"/>
      <c r="G1" s="7"/>
      <c r="H1" s="7"/>
    </row>
    <row r="2" spans="1:1">
      <c r="A2" s="8"/>
    </row>
    <row r="3" s="1" customFormat="1" ht="21.6" spans="1:73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  <c r="AF3" s="9" t="s">
        <v>32</v>
      </c>
      <c r="AG3" s="9" t="s">
        <v>33</v>
      </c>
      <c r="AH3" s="9" t="s">
        <v>34</v>
      </c>
      <c r="AI3" s="9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9" t="s">
        <v>53</v>
      </c>
      <c r="BB3" s="9" t="s">
        <v>54</v>
      </c>
      <c r="BC3" s="9" t="s">
        <v>55</v>
      </c>
      <c r="BD3" s="9" t="s">
        <v>56</v>
      </c>
      <c r="BE3" s="9" t="s">
        <v>57</v>
      </c>
      <c r="BF3" s="9" t="s">
        <v>58</v>
      </c>
      <c r="BG3" s="9" t="s">
        <v>59</v>
      </c>
      <c r="BH3" s="9" t="s">
        <v>60</v>
      </c>
      <c r="BI3" s="9" t="s">
        <v>61</v>
      </c>
      <c r="BJ3" s="9" t="s">
        <v>62</v>
      </c>
      <c r="BK3" s="9" t="s">
        <v>63</v>
      </c>
      <c r="BL3" s="9" t="s">
        <v>64</v>
      </c>
      <c r="BM3" s="9" t="s">
        <v>65</v>
      </c>
      <c r="BN3" s="22"/>
      <c r="BO3" s="22"/>
      <c r="BP3" s="22"/>
      <c r="BQ3" s="22"/>
      <c r="BR3" s="22"/>
      <c r="BS3" s="22"/>
      <c r="BT3" s="22"/>
      <c r="BU3" s="22"/>
    </row>
    <row r="4" spans="1:73">
      <c r="A4" s="16" t="s">
        <v>66</v>
      </c>
      <c r="B4" s="17">
        <f>' B2级比赛 '!B4*5</f>
        <v>10</v>
      </c>
      <c r="C4" s="13">
        <v>10</v>
      </c>
      <c r="D4" s="14">
        <v>2.5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9"/>
      <c r="BO4" s="19"/>
      <c r="BP4" s="19"/>
      <c r="BQ4" s="19"/>
      <c r="BR4" s="19"/>
      <c r="BS4" s="19"/>
      <c r="BT4" s="19"/>
      <c r="BU4" s="19"/>
    </row>
    <row r="5" spans="1:73">
      <c r="A5" s="11" t="s">
        <v>67</v>
      </c>
      <c r="B5" s="12">
        <f>' B2级比赛 '!B5*5</f>
        <v>20</v>
      </c>
      <c r="C5" s="12">
        <f>' B2级比赛 '!C5*5</f>
        <v>14</v>
      </c>
      <c r="D5" s="13">
        <f>' B2级比赛 '!D5*5</f>
        <v>34</v>
      </c>
      <c r="E5" s="14">
        <f>' B2级比赛 '!E5*5</f>
        <v>4.25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9"/>
      <c r="BO5" s="19"/>
      <c r="BP5" s="19"/>
      <c r="BQ5" s="19"/>
      <c r="BR5" s="19"/>
      <c r="BS5" s="19"/>
      <c r="BT5" s="19"/>
      <c r="BU5" s="19"/>
    </row>
    <row r="6" spans="1:73">
      <c r="A6" s="11" t="s">
        <v>68</v>
      </c>
      <c r="B6" s="12">
        <f>' B2级比赛 '!B6*5</f>
        <v>30</v>
      </c>
      <c r="C6" s="12">
        <f>' B2级比赛 '!C6*5</f>
        <v>21</v>
      </c>
      <c r="D6" s="15">
        <f>' B2级比赛 '!D6*5</f>
        <v>15</v>
      </c>
      <c r="E6" s="13">
        <f>' B2级比赛 '!E6*5</f>
        <v>66</v>
      </c>
      <c r="F6" s="14">
        <f>' B2级比赛 '!F6*5</f>
        <v>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9"/>
      <c r="BO6" s="19"/>
      <c r="BP6" s="19"/>
      <c r="BQ6" s="19"/>
      <c r="BR6" s="19"/>
      <c r="BS6" s="19"/>
      <c r="BT6" s="19"/>
      <c r="BU6" s="19"/>
    </row>
    <row r="7" spans="1:73">
      <c r="A7" s="11" t="s">
        <v>69</v>
      </c>
      <c r="B7" s="12">
        <f>' B2级比赛 '!B7*5</f>
        <v>34</v>
      </c>
      <c r="C7" s="12">
        <f>' B2级比赛 '!C7*5</f>
        <v>23.8</v>
      </c>
      <c r="D7" s="15">
        <f>' B2级比赛 '!D7*5</f>
        <v>17</v>
      </c>
      <c r="E7" s="15">
        <f>' B2级比赛 '!E7*5</f>
        <v>11.9</v>
      </c>
      <c r="F7" s="13">
        <f>' B2级比赛 '!F7*5</f>
        <v>86.7</v>
      </c>
      <c r="G7" s="14">
        <f>' B2级比赛 '!G7*5</f>
        <v>6.19285714285714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9"/>
      <c r="BO7" s="19"/>
      <c r="BP7" s="19"/>
      <c r="BQ7" s="19"/>
      <c r="BR7" s="19"/>
      <c r="BS7" s="19"/>
      <c r="BT7" s="19"/>
      <c r="BU7" s="19"/>
    </row>
    <row r="8" spans="1:73">
      <c r="A8" s="11" t="s">
        <v>70</v>
      </c>
      <c r="B8" s="12">
        <f>' B2级比赛 '!B8*5</f>
        <v>41</v>
      </c>
      <c r="C8" s="12">
        <f>' B2级比赛 '!C8*5</f>
        <v>28.7</v>
      </c>
      <c r="D8" s="15">
        <f>' B2级比赛 '!D8*5</f>
        <v>20.5</v>
      </c>
      <c r="E8" s="15">
        <f>' B2级比赛 '!E8*5</f>
        <v>14.35</v>
      </c>
      <c r="F8" s="15">
        <f>' B2级比赛 '!F8*5</f>
        <v>8.2</v>
      </c>
      <c r="G8" s="13">
        <f>' B2级比赛 '!G8*5</f>
        <v>112.75</v>
      </c>
      <c r="H8" s="14">
        <f>' B2级比赛 '!H8*5</f>
        <v>6.26388888888889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9"/>
      <c r="BO8" s="19"/>
      <c r="BP8" s="19"/>
      <c r="BQ8" s="19"/>
      <c r="BR8" s="19"/>
      <c r="BS8" s="19"/>
      <c r="BT8" s="19"/>
      <c r="BU8" s="19"/>
    </row>
    <row r="9" spans="1:73">
      <c r="A9" s="11" t="s">
        <v>71</v>
      </c>
      <c r="B9" s="12">
        <f>' B2级比赛 '!B9*5</f>
        <v>46</v>
      </c>
      <c r="C9" s="12">
        <f>' B2级比赛 '!C9*5</f>
        <v>32.2</v>
      </c>
      <c r="D9" s="15">
        <f>' B2级比赛 '!D9*5</f>
        <v>23</v>
      </c>
      <c r="E9" s="15">
        <f>' B2级比赛 '!E9*5</f>
        <v>16.1</v>
      </c>
      <c r="F9" s="15">
        <f>' B2级比赛 '!F9*5</f>
        <v>9.2</v>
      </c>
      <c r="G9" s="15">
        <f>' B2级比赛 '!G9*5</f>
        <v>7.66666666666665</v>
      </c>
      <c r="H9" s="13">
        <f>' B2级比赛 '!H9*5</f>
        <v>134.166666666667</v>
      </c>
      <c r="I9" s="14">
        <f>' B2级比赛 '!I9*5</f>
        <v>6.38888888888889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9"/>
      <c r="BO9" s="19"/>
      <c r="BP9" s="19"/>
      <c r="BQ9" s="19"/>
      <c r="BR9" s="19"/>
      <c r="BS9" s="19"/>
      <c r="BT9" s="19"/>
      <c r="BU9" s="19"/>
    </row>
    <row r="10" spans="1:73">
      <c r="A10" s="11" t="s">
        <v>72</v>
      </c>
      <c r="B10" s="12">
        <f>' B2级比赛 '!B10*5</f>
        <v>50</v>
      </c>
      <c r="C10" s="12">
        <f>' B2级比赛 '!C10*5</f>
        <v>35</v>
      </c>
      <c r="D10" s="15">
        <f>' B2级比赛 '!D10*5</f>
        <v>25</v>
      </c>
      <c r="E10" s="15">
        <f>' B2级比赛 '!E10*5</f>
        <v>17.5</v>
      </c>
      <c r="F10" s="15">
        <f>' B2级比赛 '!F10*5</f>
        <v>10</v>
      </c>
      <c r="G10" s="15">
        <f>' B2级比赛 '!G10*5</f>
        <v>8.33333333333333</v>
      </c>
      <c r="H10" s="15">
        <f>' B2级比赛 '!H10*5</f>
        <v>7.14285714285715</v>
      </c>
      <c r="I10" s="13">
        <f>' B2级比赛 '!I10*5</f>
        <v>152.97619047619</v>
      </c>
      <c r="J10" s="14">
        <f>' B2级比赛 '!J10*5</f>
        <v>6.37400793650794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9"/>
      <c r="BO10" s="19"/>
      <c r="BP10" s="19"/>
      <c r="BQ10" s="19"/>
      <c r="BR10" s="19"/>
      <c r="BS10" s="19"/>
      <c r="BT10" s="19"/>
      <c r="BU10" s="19"/>
    </row>
    <row r="11" spans="1:73">
      <c r="A11" s="11" t="s">
        <v>73</v>
      </c>
      <c r="B11" s="12">
        <f>' B2级比赛 '!B11*5</f>
        <v>56</v>
      </c>
      <c r="C11" s="12">
        <f>' B2级比赛 '!C11*5</f>
        <v>39.2</v>
      </c>
      <c r="D11" s="15">
        <f>' B2级比赛 '!D11*5</f>
        <v>28</v>
      </c>
      <c r="E11" s="15">
        <f>' B2级比赛 '!E11*5</f>
        <v>19.6</v>
      </c>
      <c r="F11" s="15">
        <f>' B2级比赛 '!F11*5</f>
        <v>11.2</v>
      </c>
      <c r="G11" s="15">
        <f>' B2级比赛 '!G11*5</f>
        <v>9.33333333333333</v>
      </c>
      <c r="H11" s="15">
        <f>' B2级比赛 '!H11*5</f>
        <v>8</v>
      </c>
      <c r="I11" s="15">
        <f>' B2级比赛 '!I11*5</f>
        <v>7</v>
      </c>
      <c r="J11" s="13">
        <f>' B2级比赛 '!J11*5</f>
        <v>178.333333333333</v>
      </c>
      <c r="K11" s="14">
        <f>' B2级比赛 '!K11*5</f>
        <v>6.36904761904762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9"/>
      <c r="BO11" s="19"/>
      <c r="BP11" s="19"/>
      <c r="BQ11" s="19"/>
      <c r="BR11" s="19"/>
      <c r="BS11" s="19"/>
      <c r="BT11" s="19"/>
      <c r="BU11" s="19"/>
    </row>
    <row r="12" spans="1:73">
      <c r="A12" s="11" t="s">
        <v>74</v>
      </c>
      <c r="B12" s="12">
        <f>' B2级比赛 '!B12*5</f>
        <v>60</v>
      </c>
      <c r="C12" s="12">
        <f>' B2级比赛 '!C12*5</f>
        <v>42</v>
      </c>
      <c r="D12" s="15">
        <f>' B2级比赛 '!D12*5</f>
        <v>30</v>
      </c>
      <c r="E12" s="15">
        <f>' B2级比赛 '!E12*5</f>
        <v>21</v>
      </c>
      <c r="F12" s="15">
        <f>' B2级比赛 '!F12*5</f>
        <v>12</v>
      </c>
      <c r="G12" s="15">
        <f>' B2级比赛 '!G12*5</f>
        <v>10</v>
      </c>
      <c r="H12" s="15">
        <f>' B2级比赛 '!H12*5</f>
        <v>8.57142857142857</v>
      </c>
      <c r="I12" s="15">
        <f>' B2级比赛 '!I12*5</f>
        <v>7.5</v>
      </c>
      <c r="J12" s="15">
        <f>' B2级比赛 '!J12*5</f>
        <v>6.66666666666665</v>
      </c>
      <c r="K12" s="13">
        <f>' B2级比赛 '!K12*5</f>
        <v>197.738095238095</v>
      </c>
      <c r="L12" s="14">
        <f>' B2级比赛 '!L12*5</f>
        <v>6.37864823348694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9"/>
      <c r="BO12" s="19"/>
      <c r="BP12" s="19"/>
      <c r="BQ12" s="19"/>
      <c r="BR12" s="19"/>
      <c r="BS12" s="19"/>
      <c r="BT12" s="19"/>
      <c r="BU12" s="19"/>
    </row>
    <row r="13" spans="1:73">
      <c r="A13" s="11" t="s">
        <v>75</v>
      </c>
      <c r="B13" s="12">
        <f>' B2级比赛 '!B13*5</f>
        <v>64</v>
      </c>
      <c r="C13" s="12">
        <f>' B2级比赛 '!C13*5</f>
        <v>44.8</v>
      </c>
      <c r="D13" s="15">
        <f>' B2级比赛 '!D13*5</f>
        <v>32</v>
      </c>
      <c r="E13" s="15">
        <f>' B2级比赛 '!E13*5</f>
        <v>22.4</v>
      </c>
      <c r="F13" s="15">
        <f>' B2级比赛 '!F13*5</f>
        <v>12.8</v>
      </c>
      <c r="G13" s="15">
        <f>' B2级比赛 '!G13*5</f>
        <v>10.6666666666667</v>
      </c>
      <c r="H13" s="15">
        <f>' B2级比赛 '!H13*5</f>
        <v>9.14285714285714</v>
      </c>
      <c r="I13" s="15">
        <f>' B2级比赛 '!I13*5</f>
        <v>8</v>
      </c>
      <c r="J13" s="15">
        <f>' B2级比赛 '!J13*5</f>
        <v>7.11111111111111</v>
      </c>
      <c r="K13" s="15">
        <f>' B2级比赛 '!K13*5</f>
        <v>6.4</v>
      </c>
      <c r="L13" s="13">
        <f>' B2级比赛 '!L13*5</f>
        <v>217.320634920635</v>
      </c>
      <c r="M13" s="14">
        <f>' B2级比赛 '!M13*5</f>
        <v>6.39178338001867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9"/>
      <c r="BO13" s="19"/>
      <c r="BP13" s="19"/>
      <c r="BQ13" s="19"/>
      <c r="BR13" s="19"/>
      <c r="BS13" s="19"/>
      <c r="BT13" s="19"/>
      <c r="BU13" s="19"/>
    </row>
    <row r="14" spans="1:73">
      <c r="A14" s="11" t="s">
        <v>76</v>
      </c>
      <c r="B14" s="12">
        <f>' B2级比赛 '!B14*5</f>
        <v>70</v>
      </c>
      <c r="C14" s="12">
        <f>' B2级比赛 '!C14*5</f>
        <v>49</v>
      </c>
      <c r="D14" s="15">
        <f>' B2级比赛 '!D14*5</f>
        <v>35</v>
      </c>
      <c r="E14" s="15">
        <f>' B2级比赛 '!E14*5</f>
        <v>24.5</v>
      </c>
      <c r="F14" s="15">
        <f>' B2级比赛 '!F14*5</f>
        <v>14</v>
      </c>
      <c r="G14" s="15">
        <f>' B2级比赛 '!G14*5</f>
        <v>11.6666666666667</v>
      </c>
      <c r="H14" s="15">
        <f>' B2级比赛 '!H14*5</f>
        <v>10</v>
      </c>
      <c r="I14" s="15">
        <f>' B2级比赛 '!I14*5</f>
        <v>8.75</v>
      </c>
      <c r="J14" s="15">
        <f>' B2级比赛 '!J14*5</f>
        <v>7.77777777777778</v>
      </c>
      <c r="K14" s="15">
        <f>' B2级比赛 '!K14*5</f>
        <v>7</v>
      </c>
      <c r="L14" s="15">
        <f>' B2级比赛 '!L14*5</f>
        <v>6.36363636363635</v>
      </c>
      <c r="M14" s="13">
        <f>' B2级比赛 '!M14*5</f>
        <v>244.058080808081</v>
      </c>
      <c r="N14" s="14">
        <f>' B2级比赛 '!N14*5</f>
        <v>6.42258107389686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9"/>
      <c r="BO14" s="19"/>
      <c r="BP14" s="19"/>
      <c r="BQ14" s="19"/>
      <c r="BR14" s="19"/>
      <c r="BS14" s="19"/>
      <c r="BT14" s="19"/>
      <c r="BU14" s="19"/>
    </row>
    <row r="15" spans="1:74">
      <c r="A15" s="11" t="s">
        <v>77</v>
      </c>
      <c r="B15" s="12">
        <f>' B2级比赛 '!B15*5</f>
        <v>75</v>
      </c>
      <c r="C15" s="12">
        <f>' B2级比赛 '!C15*5</f>
        <v>52.5</v>
      </c>
      <c r="D15" s="15">
        <f>' B2级比赛 '!D15*5</f>
        <v>37.5</v>
      </c>
      <c r="E15" s="15">
        <f>' B2级比赛 '!E15*5</f>
        <v>26.25</v>
      </c>
      <c r="F15" s="15">
        <f>' B2级比赛 '!F15*5</f>
        <v>15</v>
      </c>
      <c r="G15" s="15">
        <f>' B2级比赛 '!G15*5</f>
        <v>12.5</v>
      </c>
      <c r="H15" s="15">
        <f>' B2级比赛 '!H15*5</f>
        <v>10.7142857142857</v>
      </c>
      <c r="I15" s="15">
        <f>' B2级比赛 '!I15*5</f>
        <v>9.375</v>
      </c>
      <c r="J15" s="15">
        <f>' B2级比赛 '!J15*5</f>
        <v>8.33333333333333</v>
      </c>
      <c r="K15" s="15">
        <f>' B2级比赛 '!K15*5</f>
        <v>7.5</v>
      </c>
      <c r="L15" s="15">
        <f>' B2级比赛 '!L15*5</f>
        <v>6.81818181818182</v>
      </c>
      <c r="M15" s="15">
        <f>' B2级比赛 '!M15*5</f>
        <v>6.25</v>
      </c>
      <c r="N15" s="13">
        <f>' B2级比赛 '!N15*5</f>
        <v>267.740800865801</v>
      </c>
      <c r="O15" s="14">
        <f>' B2级比赛 '!O15*5</f>
        <v>6.53026343575124</v>
      </c>
      <c r="P15" s="15"/>
      <c r="Q15" s="15"/>
      <c r="R15" s="15"/>
      <c r="S15" s="15"/>
      <c r="T15" s="15">
        <f>' B2级比赛 '!T15*5</f>
        <v>0</v>
      </c>
      <c r="U15" s="15"/>
      <c r="V15" s="15">
        <f>' B2级比赛 '!V15*5</f>
        <v>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9"/>
      <c r="BO15" s="19"/>
      <c r="BP15" s="19"/>
      <c r="BQ15" s="19"/>
      <c r="BR15" s="19"/>
      <c r="BS15" s="19"/>
      <c r="BT15" s="19"/>
      <c r="BU15" s="19"/>
      <c r="BV15" s="24"/>
    </row>
    <row r="16" spans="1:73">
      <c r="A16" s="11" t="s">
        <v>78</v>
      </c>
      <c r="B16" s="12">
        <f>' B2级比赛 '!B16*5</f>
        <v>80</v>
      </c>
      <c r="C16" s="12">
        <f>' B2级比赛 '!C16*5</f>
        <v>56</v>
      </c>
      <c r="D16" s="15">
        <f>' B2级比赛 '!D16*5</f>
        <v>40</v>
      </c>
      <c r="E16" s="15">
        <f>' B2级比赛 '!E16*5</f>
        <v>28</v>
      </c>
      <c r="F16" s="15">
        <f>' B2级比赛 '!F16*5</f>
        <v>16</v>
      </c>
      <c r="G16" s="15">
        <f>' B2级比赛 '!G16*5</f>
        <v>13.3333333333333</v>
      </c>
      <c r="H16" s="15">
        <f>' B2级比赛 '!H16*5</f>
        <v>11.4285714285714</v>
      </c>
      <c r="I16" s="15">
        <f>' B2级比赛 '!I16*5</f>
        <v>10</v>
      </c>
      <c r="J16" s="15">
        <f>' B2级比赛 '!J16*5</f>
        <v>8.88888888888889</v>
      </c>
      <c r="K16" s="15">
        <f>' B2级比赛 '!K16*5</f>
        <v>8</v>
      </c>
      <c r="L16" s="15">
        <f>' B2级比赛 '!L16*5</f>
        <v>7.27272727272727</v>
      </c>
      <c r="M16" s="15">
        <f>' B2级比赛 '!M16*5</f>
        <v>6.66666666666667</v>
      </c>
      <c r="N16" s="15">
        <f>' B2级比赛 '!N16*5</f>
        <v>6.15384615384615</v>
      </c>
      <c r="O16" s="13">
        <f>' B2级比赛 '!O16*5</f>
        <v>291.744033744034</v>
      </c>
      <c r="P16" s="14">
        <f>' B2级比赛 '!P16*5</f>
        <v>6.63054622145531</v>
      </c>
      <c r="Q16" s="15"/>
      <c r="R16" s="15"/>
      <c r="S16" s="15"/>
      <c r="T16" s="15">
        <f>' B2级比赛 '!T16*5</f>
        <v>0</v>
      </c>
      <c r="U16" s="15"/>
      <c r="V16" s="15">
        <f>' B2级比赛 '!V16*5</f>
        <v>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9"/>
      <c r="BO16" s="19"/>
      <c r="BP16" s="19"/>
      <c r="BQ16" s="19"/>
      <c r="BR16" s="19"/>
      <c r="BS16" s="19"/>
      <c r="BT16" s="19"/>
      <c r="BU16" s="19"/>
    </row>
    <row r="17" spans="1:73">
      <c r="A17" s="11" t="s">
        <v>79</v>
      </c>
      <c r="B17" s="12">
        <f>' B2级比赛 '!B17*5</f>
        <v>85</v>
      </c>
      <c r="C17" s="12">
        <f>' B2级比赛 '!C17*5</f>
        <v>59.5</v>
      </c>
      <c r="D17" s="15">
        <f>' B2级比赛 '!D17*5</f>
        <v>42.5</v>
      </c>
      <c r="E17" s="15">
        <f>' B2级比赛 '!E17*5</f>
        <v>29.75</v>
      </c>
      <c r="F17" s="15">
        <f>' B2级比赛 '!F17*5</f>
        <v>17</v>
      </c>
      <c r="G17" s="15">
        <f>' B2级比赛 '!G17*5</f>
        <v>14.1666666666667</v>
      </c>
      <c r="H17" s="15">
        <f>' B2级比赛 '!H17*5</f>
        <v>12.1428571428571</v>
      </c>
      <c r="I17" s="15">
        <f>' B2级比赛 '!I17*5</f>
        <v>10.625</v>
      </c>
      <c r="J17" s="15">
        <f>' B2级比赛 '!J17*5</f>
        <v>9.44444444444444</v>
      </c>
      <c r="K17" s="15">
        <f>' B2级比赛 '!K17*5</f>
        <v>8.5</v>
      </c>
      <c r="L17" s="15">
        <f>' B2级比赛 '!L17*5</f>
        <v>7.72727272727273</v>
      </c>
      <c r="M17" s="15">
        <f>' B2级比赛 '!M17*5</f>
        <v>7.08333333333333</v>
      </c>
      <c r="N17" s="15">
        <f>' B2级比赛 '!N17*5</f>
        <v>6.53846153846154</v>
      </c>
      <c r="O17" s="15">
        <f>' B2级比赛 '!O17*5</f>
        <v>6.07142857142855</v>
      </c>
      <c r="P17" s="13">
        <f>' B2级比赛 '!P17*5</f>
        <v>316.049464424464</v>
      </c>
      <c r="Q17" s="14">
        <f>' B2级比赛 '!Q17*5</f>
        <v>6.58436384217634</v>
      </c>
      <c r="R17" s="15"/>
      <c r="S17" s="15"/>
      <c r="T17" s="15">
        <f>' B2级比赛 '!T17*5</f>
        <v>0</v>
      </c>
      <c r="U17" s="15"/>
      <c r="V17" s="15">
        <f>' B2级比赛 '!V17*5</f>
        <v>0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9"/>
      <c r="BO17" s="19"/>
      <c r="BP17" s="19"/>
      <c r="BQ17" s="19"/>
      <c r="BR17" s="19"/>
      <c r="BS17" s="19"/>
      <c r="BT17" s="19"/>
      <c r="BU17" s="19"/>
    </row>
    <row r="18" spans="1:73">
      <c r="A18" s="11" t="s">
        <v>80</v>
      </c>
      <c r="B18" s="12">
        <f>' B2级比赛 '!B18*5</f>
        <v>89</v>
      </c>
      <c r="C18" s="12">
        <f>' B2级比赛 '!C18*5</f>
        <v>62.3</v>
      </c>
      <c r="D18" s="15">
        <f>' B2级比赛 '!D18*5</f>
        <v>44.5</v>
      </c>
      <c r="E18" s="15">
        <f>' B2级比赛 '!E18*5</f>
        <v>31.15</v>
      </c>
      <c r="F18" s="15">
        <f>' B2级比赛 '!F18*5</f>
        <v>17.8</v>
      </c>
      <c r="G18" s="15">
        <f>' B2级比赛 '!G18*5</f>
        <v>14.8333333333333</v>
      </c>
      <c r="H18" s="15">
        <f>' B2级比赛 '!H18*5</f>
        <v>12.7142857142857</v>
      </c>
      <c r="I18" s="15">
        <f>' B2级比赛 '!I18*5</f>
        <v>11.125</v>
      </c>
      <c r="J18" s="15">
        <f>' B2级比赛 '!J18*5</f>
        <v>9.88888888888889</v>
      </c>
      <c r="K18" s="15">
        <f>' B2级比赛 '!K18*5</f>
        <v>8.9</v>
      </c>
      <c r="L18" s="15">
        <f>' B2级比赛 '!L18*5</f>
        <v>8.09090909090909</v>
      </c>
      <c r="M18" s="15">
        <f>' B2级比赛 '!M18*5</f>
        <v>7.41666666666667</v>
      </c>
      <c r="N18" s="15">
        <f>' B2级比赛 '!N18*5</f>
        <v>6.84615384615385</v>
      </c>
      <c r="O18" s="15">
        <f>' B2级比赛 '!O18*5</f>
        <v>6.35714285714286</v>
      </c>
      <c r="P18" s="12">
        <f>' B2级比赛 '!P18*5</f>
        <v>5.93333333333335</v>
      </c>
      <c r="Q18" s="13">
        <f>' B2级比赛 '!Q18*5</f>
        <v>336.855713730714</v>
      </c>
      <c r="R18" s="14">
        <f>' B2级比赛 '!R18*5</f>
        <v>6.60501399471988</v>
      </c>
      <c r="S18" s="12"/>
      <c r="T18" s="12">
        <f>' B2级比赛 '!T18*5</f>
        <v>0</v>
      </c>
      <c r="U18" s="12"/>
      <c r="V18" s="12">
        <f>' B2级比赛 '!V18*5</f>
        <v>0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9"/>
      <c r="BO18" s="19"/>
      <c r="BP18" s="19"/>
      <c r="BQ18" s="19"/>
      <c r="BR18" s="19"/>
      <c r="BS18" s="19"/>
      <c r="BT18" s="19"/>
      <c r="BU18" s="19"/>
    </row>
    <row r="19" spans="1:73">
      <c r="A19" s="11" t="s">
        <v>81</v>
      </c>
      <c r="B19" s="12">
        <f>' B2级比赛 '!B19*5</f>
        <v>92.5</v>
      </c>
      <c r="C19" s="12">
        <f>' B2级比赛 '!C19*5</f>
        <v>64.75</v>
      </c>
      <c r="D19" s="15">
        <f>' B2级比赛 '!D19*5</f>
        <v>46.25</v>
      </c>
      <c r="E19" s="15">
        <f>' B2级比赛 '!E19*5</f>
        <v>32.375</v>
      </c>
      <c r="F19" s="15">
        <f>' B2级比赛 '!F19*5</f>
        <v>18.5</v>
      </c>
      <c r="G19" s="15">
        <f>' B2级比赛 '!G19*5</f>
        <v>15.4166666666667</v>
      </c>
      <c r="H19" s="15">
        <f>' B2级比赛 '!H19*5</f>
        <v>13.2142857142857</v>
      </c>
      <c r="I19" s="15">
        <f>' B2级比赛 '!I19*5</f>
        <v>11.5625</v>
      </c>
      <c r="J19" s="15">
        <f>' B2级比赛 '!J19*5</f>
        <v>10.2777777777778</v>
      </c>
      <c r="K19" s="15">
        <f>' B2级比赛 '!K19*5</f>
        <v>9.25</v>
      </c>
      <c r="L19" s="15">
        <f>' B2级比赛 '!L19*5</f>
        <v>8.40909090909091</v>
      </c>
      <c r="M19" s="15">
        <f>' B2级比赛 '!M19*5</f>
        <v>7.70833333333333</v>
      </c>
      <c r="N19" s="15">
        <f>' B2级比赛 '!N19*5</f>
        <v>7.11538461538462</v>
      </c>
      <c r="O19" s="15">
        <f>' B2级比赛 '!O19*5</f>
        <v>6.60714285714286</v>
      </c>
      <c r="P19" s="12">
        <f>' B2级比赛 '!P19*5</f>
        <v>6.16666666666667</v>
      </c>
      <c r="Q19" s="12">
        <f>' B2级比赛 '!Q19*5</f>
        <v>5.78125</v>
      </c>
      <c r="R19" s="13">
        <f>' B2级比赛 '!R19*5</f>
        <v>355.884098540349</v>
      </c>
      <c r="S19" s="14">
        <f>' B2级比赛 '!S19*5</f>
        <v>6.59044626926572</v>
      </c>
      <c r="T19" s="12">
        <f>' B2级比赛 '!T19*5</f>
        <v>0</v>
      </c>
      <c r="U19" s="12"/>
      <c r="V19" s="12">
        <f>' B2级比赛 '!V19*5</f>
        <v>0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9"/>
      <c r="BO19" s="19"/>
      <c r="BP19" s="19"/>
      <c r="BQ19" s="19"/>
      <c r="BR19" s="19"/>
      <c r="BS19" s="19"/>
      <c r="BT19" s="19"/>
      <c r="BU19" s="19"/>
    </row>
    <row r="20" spans="1:73">
      <c r="A20" s="11" t="s">
        <v>82</v>
      </c>
      <c r="B20" s="12">
        <f>' B2级比赛 '!B20*5</f>
        <v>100</v>
      </c>
      <c r="C20" s="12">
        <f>' B2级比赛 '!C20*5</f>
        <v>70</v>
      </c>
      <c r="D20" s="15">
        <f>' B2级比赛 '!D20*5</f>
        <v>50</v>
      </c>
      <c r="E20" s="15">
        <f>' B2级比赛 '!E20*5</f>
        <v>35</v>
      </c>
      <c r="F20" s="15">
        <f>' B2级比赛 '!F20*5</f>
        <v>20</v>
      </c>
      <c r="G20" s="15">
        <f>' B2级比赛 '!G20*5</f>
        <v>16.6666666666667</v>
      </c>
      <c r="H20" s="15">
        <f>' B2级比赛 '!H20*5</f>
        <v>14.2857142857143</v>
      </c>
      <c r="I20" s="15">
        <f>' B2级比赛 '!I20*5</f>
        <v>12.5</v>
      </c>
      <c r="J20" s="15">
        <f>' B2级比赛 '!J20*5</f>
        <v>11.1111111111111</v>
      </c>
      <c r="K20" s="15">
        <f>' B2级比赛 '!K20*5</f>
        <v>10</v>
      </c>
      <c r="L20" s="15">
        <f>' B2级比赛 '!L20*5</f>
        <v>9.09090909090909</v>
      </c>
      <c r="M20" s="15">
        <f>' B2级比赛 '!M20*5</f>
        <v>8.33333333333333</v>
      </c>
      <c r="N20" s="15">
        <f>' B2级比赛 '!N20*5</f>
        <v>7.69230769230769</v>
      </c>
      <c r="O20" s="15">
        <f>' B2级比赛 '!O20*5</f>
        <v>7.14285714285714</v>
      </c>
      <c r="P20" s="12">
        <f>' B2级比赛 '!P20*5</f>
        <v>6.66666666666667</v>
      </c>
      <c r="Q20" s="12">
        <f>' B2级比赛 '!Q20*5</f>
        <v>6.25</v>
      </c>
      <c r="R20" s="12">
        <f>' B2级比赛 '!R20*5</f>
        <v>5.88235294117645</v>
      </c>
      <c r="S20" s="13">
        <f>' B2级比赛 '!S20*5</f>
        <v>390.621918930742</v>
      </c>
      <c r="T20" s="14">
        <f>' B2级比赛 '!T20*5</f>
        <v>6.7348606712197</v>
      </c>
      <c r="U20" s="12"/>
      <c r="V20" s="12">
        <f>' B2级比赛 '!V20*5</f>
        <v>0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9"/>
      <c r="BO20" s="19"/>
      <c r="BP20" s="19"/>
      <c r="BQ20" s="19"/>
      <c r="BR20" s="19"/>
      <c r="BS20" s="19"/>
      <c r="BT20" s="19"/>
      <c r="BU20" s="19"/>
    </row>
    <row r="21" spans="1:73">
      <c r="A21" s="11" t="s">
        <v>83</v>
      </c>
      <c r="B21" s="12">
        <f>' B2级比赛 '!B21*5</f>
        <v>105</v>
      </c>
      <c r="C21" s="12">
        <f>' B2级比赛 '!C21*5</f>
        <v>73.5</v>
      </c>
      <c r="D21" s="15">
        <f>' B2级比赛 '!D21*5</f>
        <v>52.5</v>
      </c>
      <c r="E21" s="15">
        <f>' B2级比赛 '!E21*5</f>
        <v>36.75</v>
      </c>
      <c r="F21" s="15">
        <f>' B2级比赛 '!F21*5</f>
        <v>21</v>
      </c>
      <c r="G21" s="15">
        <f>' B2级比赛 '!G21*5</f>
        <v>17.5</v>
      </c>
      <c r="H21" s="15">
        <f>' B2级比赛 '!H21*5</f>
        <v>15</v>
      </c>
      <c r="I21" s="15">
        <f>' B2级比赛 '!I21*5</f>
        <v>13.125</v>
      </c>
      <c r="J21" s="15">
        <f>' B2级比赛 '!J21*5</f>
        <v>11.6666666666667</v>
      </c>
      <c r="K21" s="15">
        <f>' B2级比赛 '!K21*5</f>
        <v>10.5</v>
      </c>
      <c r="L21" s="15">
        <f>' B2级比赛 '!L21*5</f>
        <v>9.54545454545455</v>
      </c>
      <c r="M21" s="15">
        <f>' B2级比赛 '!M21*5</f>
        <v>8.75</v>
      </c>
      <c r="N21" s="15">
        <f>' B2级比赛 '!N21*5</f>
        <v>8.07692307692308</v>
      </c>
      <c r="O21" s="15">
        <f>' B2级比赛 '!O21*5</f>
        <v>7.5</v>
      </c>
      <c r="P21" s="12">
        <f>' B2级比赛 '!P21*5</f>
        <v>7</v>
      </c>
      <c r="Q21" s="12">
        <f>' B2级比赛 '!Q21*5</f>
        <v>6.5625</v>
      </c>
      <c r="R21" s="12">
        <f>' B2级比赛 '!R21*5</f>
        <v>6.17647058823529</v>
      </c>
      <c r="S21" s="12">
        <f>' B2级比赛 '!S21*5</f>
        <v>5.83333333333335</v>
      </c>
      <c r="T21" s="13">
        <f>' B2级比赛 '!T21*5</f>
        <v>415.986348210613</v>
      </c>
      <c r="U21" s="14">
        <f>' B2级比赛 '!U21*5</f>
        <v>6.81944833132152</v>
      </c>
      <c r="V21" s="12">
        <f>' B2级比赛 '!V21*5</f>
        <v>0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9"/>
      <c r="BO21" s="19"/>
      <c r="BP21" s="19"/>
      <c r="BQ21" s="19"/>
      <c r="BR21" s="19"/>
      <c r="BS21" s="19"/>
      <c r="BT21" s="19"/>
      <c r="BU21" s="19"/>
    </row>
    <row r="22" spans="1:110">
      <c r="A22" s="11" t="s">
        <v>84</v>
      </c>
      <c r="B22" s="12">
        <f>' B2级比赛 '!B22*5</f>
        <v>110</v>
      </c>
      <c r="C22" s="12">
        <f>' B2级比赛 '!C22*5</f>
        <v>77</v>
      </c>
      <c r="D22" s="15">
        <f>' B2级比赛 '!D22*5</f>
        <v>55</v>
      </c>
      <c r="E22" s="15">
        <f>' B2级比赛 '!E22*5</f>
        <v>38.5</v>
      </c>
      <c r="F22" s="15">
        <f>' B2级比赛 '!F22*5</f>
        <v>22</v>
      </c>
      <c r="G22" s="15">
        <f>' B2级比赛 '!G22*5</f>
        <v>18.3333333333333</v>
      </c>
      <c r="H22" s="15">
        <f>' B2级比赛 '!H22*5</f>
        <v>15.7142857142857</v>
      </c>
      <c r="I22" s="15">
        <f>' B2级比赛 '!I22*5</f>
        <v>13.75</v>
      </c>
      <c r="J22" s="15">
        <f>' B2级比赛 '!J22*5</f>
        <v>12.2222222222222</v>
      </c>
      <c r="K22" s="15">
        <f>' B2级比赛 '!K22*5</f>
        <v>11</v>
      </c>
      <c r="L22" s="15">
        <f>' B2级比赛 '!L22*5</f>
        <v>10</v>
      </c>
      <c r="M22" s="15">
        <f>' B2级比赛 '!M22*5</f>
        <v>9.16666666666667</v>
      </c>
      <c r="N22" s="15">
        <f>' B2级比赛 '!N22*5</f>
        <v>8.46153846153846</v>
      </c>
      <c r="O22" s="15">
        <f>' B2级比赛 '!O22*5</f>
        <v>7.85714285714286</v>
      </c>
      <c r="P22" s="12">
        <f>' B2级比赛 '!P22*5</f>
        <v>7.33333333333333</v>
      </c>
      <c r="Q22" s="12">
        <f>' B2级比赛 '!Q22*5</f>
        <v>6.875</v>
      </c>
      <c r="R22" s="12">
        <f>' B2级比赛 '!R22*5</f>
        <v>6.47058823529412</v>
      </c>
      <c r="S22" s="12">
        <f>' B2级比赛 '!S22*5</f>
        <v>6.11111111111111</v>
      </c>
      <c r="T22" s="12">
        <f>' B2级比赛 '!T22*5</f>
        <v>5.78947368421055</v>
      </c>
      <c r="U22" s="13">
        <f>' B2级比赛 '!U22*5</f>
        <v>441.584695619138</v>
      </c>
      <c r="V22" s="14">
        <f>' B2级比赛 '!V22*5</f>
        <v>6.89976086904904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23"/>
      <c r="BO22" s="23"/>
      <c r="BP22" s="23"/>
      <c r="BQ22" s="23"/>
      <c r="BR22" s="23"/>
      <c r="BS22" s="23"/>
      <c r="BT22" s="23"/>
      <c r="BU22" s="2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>
      <c r="A23" s="11" t="s">
        <v>85</v>
      </c>
      <c r="B23" s="12">
        <f>' B2级比赛 '!B23*5</f>
        <v>115</v>
      </c>
      <c r="C23" s="12">
        <f>' B2级比赛 '!C23*5</f>
        <v>80.5</v>
      </c>
      <c r="D23" s="15">
        <f>' B2级比赛 '!D23*5</f>
        <v>57.5</v>
      </c>
      <c r="E23" s="15">
        <f>' B2级比赛 '!E23*5</f>
        <v>40.25</v>
      </c>
      <c r="F23" s="15">
        <f>' B2级比赛 '!F23*5</f>
        <v>23</v>
      </c>
      <c r="G23" s="15">
        <f>' B2级比赛 '!G23*5</f>
        <v>19.1666666666667</v>
      </c>
      <c r="H23" s="15">
        <f>' B2级比赛 '!H23*5</f>
        <v>16.4285714285714</v>
      </c>
      <c r="I23" s="15">
        <f>' B2级比赛 '!I23*5</f>
        <v>14.375</v>
      </c>
      <c r="J23" s="15">
        <f>' B2级比赛 '!J23*5</f>
        <v>12.7777777777778</v>
      </c>
      <c r="K23" s="15">
        <f>' B2级比赛 '!K23*5</f>
        <v>11.5</v>
      </c>
      <c r="L23" s="15">
        <f>' B2级比赛 '!L23*5</f>
        <v>10.4545454545455</v>
      </c>
      <c r="M23" s="15">
        <f>' B2级比赛 '!M23*5</f>
        <v>9.58333333333333</v>
      </c>
      <c r="N23" s="15">
        <f>' B2级比赛 '!N23*5</f>
        <v>8.84615384615385</v>
      </c>
      <c r="O23" s="15">
        <f>' B2级比赛 '!O23*5</f>
        <v>8.21428571428571</v>
      </c>
      <c r="P23" s="12">
        <f>' B2级比赛 '!P23*5</f>
        <v>7.66666666666667</v>
      </c>
      <c r="Q23" s="12">
        <f>' B2级比赛 '!Q23*5</f>
        <v>7.1875</v>
      </c>
      <c r="R23" s="12">
        <f>' B2级比赛 '!R23*5</f>
        <v>6.76470588235294</v>
      </c>
      <c r="S23" s="12">
        <f>' B2级比赛 '!S23*5</f>
        <v>6.38888888888889</v>
      </c>
      <c r="T23" s="12">
        <f>' B2级比赛 '!T23*5</f>
        <v>6.05263157894737</v>
      </c>
      <c r="U23" s="12">
        <f>' B2级比赛 '!U23*5</f>
        <v>5.75</v>
      </c>
      <c r="V23" s="13">
        <f>' B2级比赛 '!V23*5</f>
        <v>467.40672723819</v>
      </c>
      <c r="W23" s="14">
        <f>' B2级比赛 '!W23*5</f>
        <v>6.87362834173809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23"/>
      <c r="BO23" s="23"/>
      <c r="BP23" s="23"/>
      <c r="BQ23" s="23"/>
      <c r="BR23" s="23"/>
      <c r="BS23" s="23"/>
      <c r="BT23" s="23"/>
      <c r="BU23" s="2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>
      <c r="A24" s="11" t="s">
        <v>86</v>
      </c>
      <c r="B24" s="12">
        <f>' B2级比赛 '!B24*5</f>
        <v>120</v>
      </c>
      <c r="C24" s="12">
        <f>' B2级比赛 '!C24*5</f>
        <v>84</v>
      </c>
      <c r="D24" s="15">
        <f>' B2级比赛 '!D24*5</f>
        <v>60</v>
      </c>
      <c r="E24" s="15">
        <f>' B2级比赛 '!E24*5</f>
        <v>42</v>
      </c>
      <c r="F24" s="15">
        <f>' B2级比赛 '!F24*5</f>
        <v>24</v>
      </c>
      <c r="G24" s="15">
        <f>' B2级比赛 '!G24*5</f>
        <v>20</v>
      </c>
      <c r="H24" s="15">
        <f>' B2级比赛 '!H24*5</f>
        <v>17.1428571428571</v>
      </c>
      <c r="I24" s="15">
        <f>' B2级比赛 '!I24*5</f>
        <v>15</v>
      </c>
      <c r="J24" s="15">
        <f>' B2级比赛 '!J24*5</f>
        <v>13.3333333333333</v>
      </c>
      <c r="K24" s="15">
        <f>' B2级比赛 '!K24*5</f>
        <v>12</v>
      </c>
      <c r="L24" s="15">
        <f>' B2级比赛 '!L24*5</f>
        <v>10.9090909090909</v>
      </c>
      <c r="M24" s="15">
        <f>' B2级比赛 '!M24*5</f>
        <v>10</v>
      </c>
      <c r="N24" s="15">
        <f>' B2级比赛 '!N24*5</f>
        <v>9.23076923076923</v>
      </c>
      <c r="O24" s="15">
        <f>' B2级比赛 '!O24*5</f>
        <v>8.57142857142857</v>
      </c>
      <c r="P24" s="12">
        <f>' B2级比赛 '!P24*5</f>
        <v>8</v>
      </c>
      <c r="Q24" s="12">
        <f>' B2级比赛 '!Q24*5</f>
        <v>7.5</v>
      </c>
      <c r="R24" s="12">
        <f>' B2级比赛 '!R24*5</f>
        <v>7.05882352941177</v>
      </c>
      <c r="S24" s="12">
        <f>' B2级比赛 '!S24*5</f>
        <v>6.66666666666667</v>
      </c>
      <c r="T24" s="12">
        <f>' B2级比赛 '!T24*5</f>
        <v>6.31578947368421</v>
      </c>
      <c r="U24" s="12">
        <f>' B2级比赛 '!U24*5</f>
        <v>6</v>
      </c>
      <c r="V24" s="12">
        <f>' B2级比赛 '!V24*5</f>
        <v>5.7142857142857</v>
      </c>
      <c r="W24" s="13">
        <f>' B2级比赛 '!W24*5</f>
        <v>493.443044571527</v>
      </c>
      <c r="X24" s="14">
        <f>' B2级比赛 '!X24*5</f>
        <v>6.9499020362187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>
        <f>' B2级比赛 '!AI24*5</f>
        <v>0</v>
      </c>
      <c r="AJ24" s="12"/>
      <c r="AK24" s="12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>
        <f>' B2级比赛 '!AV24*5</f>
        <v>0</v>
      </c>
      <c r="AW24" s="18">
        <f>' B2级比赛 '!AW24*5</f>
        <v>0</v>
      </c>
      <c r="AX24" s="18">
        <f>' B2级比赛 '!AX24*5</f>
        <v>0</v>
      </c>
      <c r="AY24" s="18">
        <f>' B2级比赛 '!AY24*5</f>
        <v>0</v>
      </c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23"/>
      <c r="BO24" s="23"/>
      <c r="BP24" s="23"/>
      <c r="BQ24" s="23"/>
      <c r="BR24" s="23"/>
      <c r="BS24" s="23"/>
      <c r="BT24" s="23"/>
      <c r="BU24" s="2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>
      <c r="A25" s="11" t="s">
        <v>87</v>
      </c>
      <c r="B25" s="12">
        <f>' B2级比赛 '!B25*5</f>
        <v>125</v>
      </c>
      <c r="C25" s="12">
        <f>' B2级比赛 '!C25*5</f>
        <v>87.5</v>
      </c>
      <c r="D25" s="15">
        <f>' B2级比赛 '!D25*5</f>
        <v>62.5</v>
      </c>
      <c r="E25" s="15">
        <f>' B2级比赛 '!E25*5</f>
        <v>43.75</v>
      </c>
      <c r="F25" s="15">
        <f>' B2级比赛 '!F25*5</f>
        <v>25</v>
      </c>
      <c r="G25" s="15">
        <f>' B2级比赛 '!G25*5</f>
        <v>20.8333333333333</v>
      </c>
      <c r="H25" s="15">
        <f>' B2级比赛 '!H25*5</f>
        <v>17.8571428571429</v>
      </c>
      <c r="I25" s="15">
        <f>' B2级比赛 '!I25*5</f>
        <v>15.625</v>
      </c>
      <c r="J25" s="15">
        <f>' B2级比赛 '!J25*5</f>
        <v>13.8888888888889</v>
      </c>
      <c r="K25" s="15">
        <f>' B2级比赛 '!K25*5</f>
        <v>12.5</v>
      </c>
      <c r="L25" s="15">
        <f>' B2级比赛 '!L25*5</f>
        <v>11.3636363636364</v>
      </c>
      <c r="M25" s="15">
        <f>' B2级比赛 '!M25*5</f>
        <v>10.4166666666667</v>
      </c>
      <c r="N25" s="15">
        <f>' B2级比赛 '!N25*5</f>
        <v>9.61538461538461</v>
      </c>
      <c r="O25" s="15">
        <f>' B2级比赛 '!O25*5</f>
        <v>8.92857142857143</v>
      </c>
      <c r="P25" s="12">
        <f>' B2级比赛 '!P25*5</f>
        <v>8.33333333333333</v>
      </c>
      <c r="Q25" s="12">
        <f>' B2级比赛 '!Q25*5</f>
        <v>7.8125</v>
      </c>
      <c r="R25" s="12">
        <f>' B2级比赛 '!R25*5</f>
        <v>7.35294117647059</v>
      </c>
      <c r="S25" s="12">
        <f>' B2级比赛 '!S25*5</f>
        <v>6.94444444444444</v>
      </c>
      <c r="T25" s="12">
        <f>' B2级比赛 '!T25*5</f>
        <v>6.57894736842105</v>
      </c>
      <c r="U25" s="12">
        <f>' B2级比赛 '!U25*5</f>
        <v>6.25</v>
      </c>
      <c r="V25" s="12">
        <f>' B2级比赛 '!V25*5</f>
        <v>5.95238095238095</v>
      </c>
      <c r="W25" s="12">
        <f>' B2级比赛 '!W25*5</f>
        <v>5.6818181818182</v>
      </c>
      <c r="X25" s="13">
        <f>' B2级比赛 '!X25*5</f>
        <v>519.684989610493</v>
      </c>
      <c r="Y25" s="14">
        <f>' B2级比赛 '!Y25*5</f>
        <v>6.92913319480657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>
        <f>' B2级比赛 '!AI25*5</f>
        <v>0</v>
      </c>
      <c r="AJ25" s="12"/>
      <c r="AK25" s="12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>
        <f>' B2级比赛 '!AV25*5</f>
        <v>0</v>
      </c>
      <c r="AW25" s="18">
        <f>' B2级比赛 '!AW25*5</f>
        <v>0</v>
      </c>
      <c r="AX25" s="18">
        <f>' B2级比赛 '!AX25*5</f>
        <v>0</v>
      </c>
      <c r="AY25" s="18">
        <f>' B2级比赛 '!AY25*5</f>
        <v>0</v>
      </c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23"/>
      <c r="BO25" s="23"/>
      <c r="BP25" s="23"/>
      <c r="BQ25" s="23"/>
      <c r="BR25" s="23"/>
      <c r="BS25" s="23"/>
      <c r="BT25" s="23"/>
      <c r="BU25" s="2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>
      <c r="A26" s="11" t="s">
        <v>88</v>
      </c>
      <c r="B26" s="12">
        <f>' B2级比赛 '!B26*5</f>
        <v>130</v>
      </c>
      <c r="C26" s="12">
        <f>' B2级比赛 '!C26*5</f>
        <v>91</v>
      </c>
      <c r="D26" s="15">
        <f>' B2级比赛 '!D26*5</f>
        <v>65</v>
      </c>
      <c r="E26" s="15">
        <f>' B2级比赛 '!E26*5</f>
        <v>45.5</v>
      </c>
      <c r="F26" s="15">
        <f>' B2级比赛 '!F26*5</f>
        <v>26</v>
      </c>
      <c r="G26" s="15">
        <f>' B2级比赛 '!G26*5</f>
        <v>21.6666666666667</v>
      </c>
      <c r="H26" s="15">
        <f>' B2级比赛 '!H26*5</f>
        <v>18.5714285714286</v>
      </c>
      <c r="I26" s="15">
        <f>' B2级比赛 '!I26*5</f>
        <v>16.25</v>
      </c>
      <c r="J26" s="15">
        <f>' B2级比赛 '!J26*5</f>
        <v>14.4444444444444</v>
      </c>
      <c r="K26" s="15">
        <f>' B2级比赛 '!K26*5</f>
        <v>13</v>
      </c>
      <c r="L26" s="15">
        <f>' B2级比赛 '!L26*5</f>
        <v>11.8181818181818</v>
      </c>
      <c r="M26" s="15">
        <f>' B2级比赛 '!M26*5</f>
        <v>10.8333333333333</v>
      </c>
      <c r="N26" s="15">
        <f>' B2级比赛 '!N26*5</f>
        <v>10</v>
      </c>
      <c r="O26" s="15">
        <f>' B2级比赛 '!O26*5</f>
        <v>9.28571428571429</v>
      </c>
      <c r="P26" s="12">
        <f>' B2级比赛 '!P26*5</f>
        <v>8.66666666666667</v>
      </c>
      <c r="Q26" s="12">
        <f>' B2级比赛 '!Q26*5</f>
        <v>8.125</v>
      </c>
      <c r="R26" s="12">
        <f>' B2级比赛 '!R26*5</f>
        <v>7.64705882352941</v>
      </c>
      <c r="S26" s="12">
        <f>' B2级比赛 '!S26*5</f>
        <v>7.22222222222222</v>
      </c>
      <c r="T26" s="12">
        <f>' B2级比赛 '!T26*5</f>
        <v>6.84210526315789</v>
      </c>
      <c r="U26" s="12">
        <f>' B2级比赛 '!U26*5</f>
        <v>6.5</v>
      </c>
      <c r="V26" s="12">
        <f>' B2级比赛 '!V26*5</f>
        <v>6.19047619047619</v>
      </c>
      <c r="W26" s="12">
        <f>' B2级比赛 '!W26*5</f>
        <v>5.90909090909091</v>
      </c>
      <c r="X26" s="12">
        <f>' B2级比赛 '!X26*5</f>
        <v>5.6521739130435</v>
      </c>
      <c r="Y26" s="13">
        <f>' B2级比赛 '!Y26*5</f>
        <v>546.124563107956</v>
      </c>
      <c r="Z26" s="14">
        <f>' B2级比赛 '!Z26*5</f>
        <v>7.00159696292251</v>
      </c>
      <c r="AA26" s="12"/>
      <c r="AB26" s="12"/>
      <c r="AC26" s="12"/>
      <c r="AD26" s="12"/>
      <c r="AE26" s="12"/>
      <c r="AF26" s="12"/>
      <c r="AG26" s="12"/>
      <c r="AH26" s="12"/>
      <c r="AI26" s="12">
        <f>' B2级比赛 '!AI26*5</f>
        <v>0</v>
      </c>
      <c r="AJ26" s="12"/>
      <c r="AK26" s="12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>
        <f>' B2级比赛 '!AV26*5</f>
        <v>0</v>
      </c>
      <c r="AW26" s="18">
        <f>' B2级比赛 '!AW26*5</f>
        <v>0</v>
      </c>
      <c r="AX26" s="18">
        <f>' B2级比赛 '!AX26*5</f>
        <v>0</v>
      </c>
      <c r="AY26" s="18">
        <f>' B2级比赛 '!AY26*5</f>
        <v>0</v>
      </c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23"/>
      <c r="BO26" s="23"/>
      <c r="BP26" s="23"/>
      <c r="BQ26" s="23"/>
      <c r="BR26" s="23"/>
      <c r="BS26" s="23"/>
      <c r="BT26" s="23"/>
      <c r="BU26" s="2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>
      <c r="A27" s="11" t="s">
        <v>89</v>
      </c>
      <c r="B27" s="12">
        <f>' B2级比赛 '!B27*5</f>
        <v>140</v>
      </c>
      <c r="C27" s="12">
        <f>' B2级比赛 '!C27*5</f>
        <v>98</v>
      </c>
      <c r="D27" s="15">
        <f>' B2级比赛 '!D27*5</f>
        <v>70</v>
      </c>
      <c r="E27" s="15">
        <f>' B2级比赛 '!E27*5</f>
        <v>49</v>
      </c>
      <c r="F27" s="15">
        <f>' B2级比赛 '!F27*5</f>
        <v>28</v>
      </c>
      <c r="G27" s="15">
        <f>' B2级比赛 '!G27*5</f>
        <v>23.3333333333333</v>
      </c>
      <c r="H27" s="15">
        <f>' B2级比赛 '!H27*5</f>
        <v>20</v>
      </c>
      <c r="I27" s="15">
        <f>' B2级比赛 '!I27*5</f>
        <v>17.5</v>
      </c>
      <c r="J27" s="15">
        <f>' B2级比赛 '!J27*5</f>
        <v>15.5555555555556</v>
      </c>
      <c r="K27" s="15">
        <f>' B2级比赛 '!K27*5</f>
        <v>14</v>
      </c>
      <c r="L27" s="15">
        <f>' B2级比赛 '!L27*5</f>
        <v>12.7272727272727</v>
      </c>
      <c r="M27" s="15">
        <f>' B2级比赛 '!M27*5</f>
        <v>11.6666666666667</v>
      </c>
      <c r="N27" s="15">
        <f>' B2级比赛 '!N27*5</f>
        <v>10.7692307692308</v>
      </c>
      <c r="O27" s="15">
        <f>' B2级比赛 '!O27*5</f>
        <v>10</v>
      </c>
      <c r="P27" s="12">
        <f>' B2级比赛 '!P27*5</f>
        <v>9.33333333333333</v>
      </c>
      <c r="Q27" s="12">
        <f>' B2级比赛 '!Q27*5</f>
        <v>8.75</v>
      </c>
      <c r="R27" s="12">
        <f>' B2级比赛 '!R27*5</f>
        <v>8.23529411764706</v>
      </c>
      <c r="S27" s="12">
        <f>' B2级比赛 '!S27*5</f>
        <v>7.77777777777778</v>
      </c>
      <c r="T27" s="12">
        <f>' B2级比赛 '!T27*5</f>
        <v>7.36842105263158</v>
      </c>
      <c r="U27" s="12">
        <f>' B2级比赛 '!U27*5</f>
        <v>7</v>
      </c>
      <c r="V27" s="12">
        <f>' B2级比赛 '!V27*5</f>
        <v>6.66666666666667</v>
      </c>
      <c r="W27" s="12">
        <f>' B2级比赛 '!W27*5</f>
        <v>6.36363636363636</v>
      </c>
      <c r="X27" s="12">
        <f>' B2级比赛 '!X27*5</f>
        <v>6.08695652173913</v>
      </c>
      <c r="Y27" s="12">
        <f>' B2级比赛 '!Y27*5</f>
        <v>5.83333333333335</v>
      </c>
      <c r="Z27" s="13">
        <f>' B2级比赛 '!Z27*5</f>
        <v>593.967478218824</v>
      </c>
      <c r="AA27" s="14">
        <f>' B2级比赛 '!AA27*5</f>
        <v>7.07104140736695</v>
      </c>
      <c r="AB27" s="12"/>
      <c r="AC27" s="12"/>
      <c r="AD27" s="12"/>
      <c r="AE27" s="12"/>
      <c r="AF27" s="12"/>
      <c r="AG27" s="12"/>
      <c r="AH27" s="12"/>
      <c r="AI27" s="12">
        <f>' B2级比赛 '!AI27*5</f>
        <v>0</v>
      </c>
      <c r="AJ27" s="12"/>
      <c r="AK27" s="12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>
        <f>' B2级比赛 '!AV27*5</f>
        <v>0</v>
      </c>
      <c r="AW27" s="18">
        <f>' B2级比赛 '!AW27*5</f>
        <v>0</v>
      </c>
      <c r="AX27" s="18">
        <f>' B2级比赛 '!AX27*5</f>
        <v>0</v>
      </c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23"/>
      <c r="BO27" s="23"/>
      <c r="BP27" s="23"/>
      <c r="BQ27" s="23"/>
      <c r="BR27" s="23"/>
      <c r="BS27" s="23"/>
      <c r="BT27" s="23"/>
      <c r="BU27" s="2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>
      <c r="A28" s="11" t="s">
        <v>90</v>
      </c>
      <c r="B28" s="12">
        <f>' B2级比赛 '!B28*5</f>
        <v>150</v>
      </c>
      <c r="C28" s="12">
        <f>' B2级比赛 '!C28*5</f>
        <v>105</v>
      </c>
      <c r="D28" s="15">
        <f>' B2级比赛 '!D28*5</f>
        <v>75</v>
      </c>
      <c r="E28" s="15">
        <f>' B2级比赛 '!E28*5</f>
        <v>52.5</v>
      </c>
      <c r="F28" s="15">
        <f>' B2级比赛 '!F28*5</f>
        <v>30</v>
      </c>
      <c r="G28" s="15">
        <f>' B2级比赛 '!G28*5</f>
        <v>25</v>
      </c>
      <c r="H28" s="15">
        <f>' B2级比赛 '!H28*5</f>
        <v>21.4285714285714</v>
      </c>
      <c r="I28" s="15">
        <f>' B2级比赛 '!I28*5</f>
        <v>18.75</v>
      </c>
      <c r="J28" s="15">
        <f>' B2级比赛 '!J28*5</f>
        <v>16.6666666666667</v>
      </c>
      <c r="K28" s="15">
        <f>' B2级比赛 '!K28*5</f>
        <v>15</v>
      </c>
      <c r="L28" s="15">
        <f>' B2级比赛 '!L28*5</f>
        <v>13.6363636363636</v>
      </c>
      <c r="M28" s="15">
        <f>' B2级比赛 '!M28*5</f>
        <v>12.5</v>
      </c>
      <c r="N28" s="15">
        <f>' B2级比赛 '!N28*5</f>
        <v>11.5384615384615</v>
      </c>
      <c r="O28" s="15">
        <f>' B2级比赛 '!O28*5</f>
        <v>10.7142857142857</v>
      </c>
      <c r="P28" s="12">
        <f>' B2级比赛 '!P28*5</f>
        <v>10</v>
      </c>
      <c r="Q28" s="12">
        <f>' B2级比赛 '!Q28*5</f>
        <v>9.375</v>
      </c>
      <c r="R28" s="12">
        <f>' B2级比赛 '!R28*5</f>
        <v>8.82352941176471</v>
      </c>
      <c r="S28" s="12">
        <f>' B2级比赛 '!S28*5</f>
        <v>8.33333333333333</v>
      </c>
      <c r="T28" s="12">
        <f>' B2级比赛 '!T28*5</f>
        <v>7.89473684210526</v>
      </c>
      <c r="U28" s="12">
        <f>' B2级比赛 '!U28*5</f>
        <v>7.5</v>
      </c>
      <c r="V28" s="12">
        <f>' B2级比赛 '!V28*5</f>
        <v>7.14285714285714</v>
      </c>
      <c r="W28" s="12">
        <f>' B2级比赛 '!W28*5</f>
        <v>6.81818181818182</v>
      </c>
      <c r="X28" s="12">
        <f>' B2级比赛 '!X28*5</f>
        <v>6.52173913043478</v>
      </c>
      <c r="Y28" s="12">
        <f>' B2级比赛 '!Y28*5</f>
        <v>6.25</v>
      </c>
      <c r="Z28" s="12">
        <f>' B2级比赛 '!Z28*5</f>
        <v>6</v>
      </c>
      <c r="AA28" s="12">
        <f>' B2级比赛 '!AA28*5</f>
        <v>5.76923076923075</v>
      </c>
      <c r="AB28" s="13">
        <f>' B2级比赛 '!AB28*5</f>
        <v>648.162957432257</v>
      </c>
      <c r="AC28" s="14">
        <f>' B2级比赛 '!AC28*5</f>
        <v>7.36548815263928</v>
      </c>
      <c r="AD28" s="12"/>
      <c r="AE28" s="12"/>
      <c r="AF28" s="12"/>
      <c r="AG28" s="12"/>
      <c r="AH28" s="12"/>
      <c r="AI28" s="12">
        <f>' B2级比赛 '!AI28*5</f>
        <v>0</v>
      </c>
      <c r="AJ28" s="12"/>
      <c r="AK28" s="12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23"/>
      <c r="BO28" s="23"/>
      <c r="BP28" s="23"/>
      <c r="BQ28" s="23"/>
      <c r="BR28" s="23"/>
      <c r="BS28" s="23"/>
      <c r="BT28" s="23"/>
      <c r="BU28" s="2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>
      <c r="A29" s="11" t="s">
        <v>91</v>
      </c>
      <c r="B29" s="12">
        <f>' B2级比赛 '!B29*5</f>
        <v>165</v>
      </c>
      <c r="C29" s="12">
        <f>' B2级比赛 '!C29*5</f>
        <v>115.5</v>
      </c>
      <c r="D29" s="15">
        <f>' B2级比赛 '!D29*5</f>
        <v>82.5</v>
      </c>
      <c r="E29" s="15">
        <f>' B2级比赛 '!E29*5</f>
        <v>57.75</v>
      </c>
      <c r="F29" s="15">
        <f>' B2级比赛 '!F29*5</f>
        <v>33</v>
      </c>
      <c r="G29" s="15">
        <f>' B2级比赛 '!G29*5</f>
        <v>27.5</v>
      </c>
      <c r="H29" s="15">
        <f>' B2级比赛 '!H29*5</f>
        <v>23.5714285714286</v>
      </c>
      <c r="I29" s="15">
        <f>' B2级比赛 '!I29*5</f>
        <v>20.625</v>
      </c>
      <c r="J29" s="15">
        <f>' B2级比赛 '!J29*5</f>
        <v>18.3333333333333</v>
      </c>
      <c r="K29" s="15">
        <f>' B2级比赛 '!K29*5</f>
        <v>16.5</v>
      </c>
      <c r="L29" s="15">
        <f>' B2级比赛 '!L29*5</f>
        <v>15</v>
      </c>
      <c r="M29" s="15">
        <f>' B2级比赛 '!M29*5</f>
        <v>13.75</v>
      </c>
      <c r="N29" s="15">
        <f>' B2级比赛 '!N29*5</f>
        <v>12.6923076923077</v>
      </c>
      <c r="O29" s="15">
        <f>' B2级比赛 '!O29*5</f>
        <v>11.7857142857143</v>
      </c>
      <c r="P29" s="12">
        <f>' B2级比赛 '!P29*5</f>
        <v>11</v>
      </c>
      <c r="Q29" s="12">
        <f>' B2级比赛 '!Q29*5</f>
        <v>10.3125</v>
      </c>
      <c r="R29" s="12">
        <f>' B2级比赛 '!R29*5</f>
        <v>9.70588235294118</v>
      </c>
      <c r="S29" s="12">
        <f>' B2级比赛 '!S29*5</f>
        <v>9.16666666666667</v>
      </c>
      <c r="T29" s="12">
        <f>' B2级比赛 '!T29*5</f>
        <v>8.68421052631579</v>
      </c>
      <c r="U29" s="12">
        <f>' B2级比赛 '!U29*5</f>
        <v>8.25</v>
      </c>
      <c r="V29" s="12">
        <f>' B2级比赛 '!V29*5</f>
        <v>7.85714285714286</v>
      </c>
      <c r="W29" s="12">
        <f>' B2级比赛 '!W29*5</f>
        <v>7.5</v>
      </c>
      <c r="X29" s="12">
        <f>' B2级比赛 '!X29*5</f>
        <v>7.17391304347826</v>
      </c>
      <c r="Y29" s="12">
        <f>' B2级比赛 '!Y29*5</f>
        <v>6.875</v>
      </c>
      <c r="Z29" s="12">
        <f>' B2级比赛 '!Z29*5</f>
        <v>6.6</v>
      </c>
      <c r="AA29" s="12">
        <f>' B2级比赛 '!AA29*5</f>
        <v>6.34615384615385</v>
      </c>
      <c r="AB29" s="12">
        <f>' B2级比赛 '!AB29*5</f>
        <v>6.1111111111111</v>
      </c>
      <c r="AC29" s="12">
        <f>' B2级比赛 '!AC29*5</f>
        <v>5.89285714285715</v>
      </c>
      <c r="AD29" s="13">
        <f>' B2级比赛 '!AD29*5</f>
        <v>724.983221429451</v>
      </c>
      <c r="AE29" s="14">
        <f>' B2级比赛 '!AE29*5</f>
        <v>7.63140233083632</v>
      </c>
      <c r="AF29" s="12"/>
      <c r="AG29" s="12"/>
      <c r="AH29" s="12"/>
      <c r="AI29" s="12">
        <f>' B2级比赛 '!AI29*5</f>
        <v>0</v>
      </c>
      <c r="AJ29" s="12"/>
      <c r="AK29" s="12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23"/>
      <c r="BO29" s="23"/>
      <c r="BP29" s="23"/>
      <c r="BQ29" s="23"/>
      <c r="BR29" s="23"/>
      <c r="BS29" s="23"/>
      <c r="BT29" s="23"/>
      <c r="BU29" s="2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>
      <c r="A30" s="11" t="s">
        <v>92</v>
      </c>
      <c r="B30" s="12">
        <f>' B2级比赛 '!B30*5</f>
        <v>172.5</v>
      </c>
      <c r="C30" s="12">
        <f>' B2级比赛 '!C30*5</f>
        <v>120.75</v>
      </c>
      <c r="D30" s="15">
        <f>' B2级比赛 '!D30*5</f>
        <v>86.25</v>
      </c>
      <c r="E30" s="15">
        <f>' B2级比赛 '!E30*5</f>
        <v>60.375</v>
      </c>
      <c r="F30" s="15">
        <f>' B2级比赛 '!F30*5</f>
        <v>34.5</v>
      </c>
      <c r="G30" s="15">
        <f>' B2级比赛 '!G30*5</f>
        <v>28.75</v>
      </c>
      <c r="H30" s="15">
        <f>' B2级比赛 '!H30*5</f>
        <v>24.6428571428571</v>
      </c>
      <c r="I30" s="15">
        <f>' B2级比赛 '!I30*5</f>
        <v>21.5625</v>
      </c>
      <c r="J30" s="15">
        <f>' B2级比赛 '!J30*5</f>
        <v>19.1666666666667</v>
      </c>
      <c r="K30" s="15">
        <f>' B2级比赛 '!K30*5</f>
        <v>17.25</v>
      </c>
      <c r="L30" s="15">
        <f>' B2级比赛 '!L30*5</f>
        <v>15.6818181818182</v>
      </c>
      <c r="M30" s="15">
        <f>' B2级比赛 '!M30*5</f>
        <v>14.375</v>
      </c>
      <c r="N30" s="15">
        <f>' B2级比赛 '!N30*5</f>
        <v>13.2692307692308</v>
      </c>
      <c r="O30" s="15">
        <f>' B2级比赛 '!O30*5</f>
        <v>12.3214285714286</v>
      </c>
      <c r="P30" s="12">
        <f>' B2级比赛 '!P30*5</f>
        <v>11.5</v>
      </c>
      <c r="Q30" s="12">
        <f>' B2级比赛 '!Q30*5</f>
        <v>10.78125</v>
      </c>
      <c r="R30" s="12">
        <f>' B2级比赛 '!R30*5</f>
        <v>10.1470588235294</v>
      </c>
      <c r="S30" s="12">
        <f>' B2级比赛 '!S30*5</f>
        <v>9.58333333333333</v>
      </c>
      <c r="T30" s="12">
        <f>' B2级比赛 '!T30*5</f>
        <v>9.07894736842105</v>
      </c>
      <c r="U30" s="12">
        <f>' B2级比赛 '!U30*5</f>
        <v>8.625</v>
      </c>
      <c r="V30" s="12">
        <f>' B2级比赛 '!V30*5</f>
        <v>8.21428571428571</v>
      </c>
      <c r="W30" s="12">
        <f>' B2级比赛 '!W30*5</f>
        <v>7.84090909090909</v>
      </c>
      <c r="X30" s="12">
        <f>' B2级比赛 '!X30*5</f>
        <v>7.5</v>
      </c>
      <c r="Y30" s="12">
        <f>' B2级比赛 '!Y30*5</f>
        <v>7.1875</v>
      </c>
      <c r="Z30" s="12">
        <f>' B2级比赛 '!Z30*5</f>
        <v>6.9</v>
      </c>
      <c r="AA30" s="12">
        <f>' B2级比赛 '!AA30*5</f>
        <v>6.63461538461538</v>
      </c>
      <c r="AB30" s="12">
        <f>' B2级比赛 '!AB30*5</f>
        <v>6.38888888888889</v>
      </c>
      <c r="AC30" s="12">
        <f>' B2级比赛 '!AC30*5</f>
        <v>6.16071428571429</v>
      </c>
      <c r="AD30" s="12">
        <f>' B2级比赛 '!AD30*5</f>
        <v>5.94827586206895</v>
      </c>
      <c r="AE30" s="13">
        <f>' B2级比赛 '!AE30*5</f>
        <v>763.885280083767</v>
      </c>
      <c r="AF30" s="14">
        <f>' B2级比赛 '!AF30*5</f>
        <v>7.79474775595681</v>
      </c>
      <c r="AG30" s="12"/>
      <c r="AH30" s="12"/>
      <c r="AI30" s="12">
        <f>' B2级比赛 '!AI30*5</f>
        <v>0</v>
      </c>
      <c r="AJ30" s="12"/>
      <c r="AK30" s="12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23"/>
      <c r="BO30" s="23"/>
      <c r="BP30" s="23"/>
      <c r="BQ30" s="23"/>
      <c r="BR30" s="23"/>
      <c r="BS30" s="23"/>
      <c r="BT30" s="23"/>
      <c r="BU30" s="2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="2" customFormat="1" spans="1:110">
      <c r="A31" s="16" t="s">
        <v>93</v>
      </c>
      <c r="B31" s="17">
        <f>' B2级比赛 '!B31*5</f>
        <v>182.5</v>
      </c>
      <c r="C31" s="17">
        <f>' B2级比赛 '!C31*5</f>
        <v>127.75</v>
      </c>
      <c r="D31" s="17">
        <f>' B2级比赛 '!D31*5</f>
        <v>91.25</v>
      </c>
      <c r="E31" s="17">
        <f>' B2级比赛 '!E31*5</f>
        <v>63.875</v>
      </c>
      <c r="F31" s="17">
        <f>' B2级比赛 '!F31*5</f>
        <v>36.5</v>
      </c>
      <c r="G31" s="17">
        <f>' B2级比赛 '!G31*5</f>
        <v>30.4166666666667</v>
      </c>
      <c r="H31" s="17">
        <f>' B2级比赛 '!H31*5</f>
        <v>26.0714285714286</v>
      </c>
      <c r="I31" s="17">
        <f>' B2级比赛 '!I31*5</f>
        <v>22.8125</v>
      </c>
      <c r="J31" s="17">
        <f>' B2级比赛 '!J31*5</f>
        <v>20.2777777777778</v>
      </c>
      <c r="K31" s="17">
        <f>' B2级比赛 '!K31*5</f>
        <v>18.25</v>
      </c>
      <c r="L31" s="17">
        <f>' B2级比赛 '!L31*5</f>
        <v>16.5909090909091</v>
      </c>
      <c r="M31" s="17">
        <f>' B2级比赛 '!M31*5</f>
        <v>15.2083333333333</v>
      </c>
      <c r="N31" s="17">
        <f>' B2级比赛 '!N31*5</f>
        <v>14.0384615384615</v>
      </c>
      <c r="O31" s="17">
        <f>' B2级比赛 '!O31*5</f>
        <v>13.0357142857143</v>
      </c>
      <c r="P31" s="17">
        <f>' B2级比赛 '!P31*5</f>
        <v>12.1666666666667</v>
      </c>
      <c r="Q31" s="17">
        <f>' B2级比赛 '!Q31*5</f>
        <v>11.40625</v>
      </c>
      <c r="R31" s="17">
        <f>' B2级比赛 '!R31*5</f>
        <v>10.7352941176471</v>
      </c>
      <c r="S31" s="17">
        <f>' B2级比赛 '!S31*5</f>
        <v>10.1388888888889</v>
      </c>
      <c r="T31" s="17">
        <f>' B2级比赛 '!T31*5</f>
        <v>9.60526315789474</v>
      </c>
      <c r="U31" s="17">
        <f>' B2级比赛 '!U31*5</f>
        <v>9.125</v>
      </c>
      <c r="V31" s="17">
        <f>' B2级比赛 '!V31*5</f>
        <v>8.69047619047619</v>
      </c>
      <c r="W31" s="17">
        <f>' B2级比赛 '!W31*5</f>
        <v>8.29545454545455</v>
      </c>
      <c r="X31" s="17">
        <f>' B2级比赛 '!X31*5</f>
        <v>7.93478260869565</v>
      </c>
      <c r="Y31" s="17">
        <f>' B2级比赛 '!Y31*5</f>
        <v>7.60416666666667</v>
      </c>
      <c r="Z31" s="17">
        <f>' B2级比赛 '!Z31*5</f>
        <v>7.3</v>
      </c>
      <c r="AA31" s="17">
        <f>' B2级比赛 '!AA31*5</f>
        <v>7.01923076923077</v>
      </c>
      <c r="AB31" s="17">
        <f>' B2级比赛 '!AB31*5</f>
        <v>6.75925925925926</v>
      </c>
      <c r="AC31" s="17">
        <f>' B2级比赛 '!AC31*5</f>
        <v>6.51785714285714</v>
      </c>
      <c r="AD31" s="17">
        <f>' B2级比赛 '!AD31*5</f>
        <v>6.29310344827586</v>
      </c>
      <c r="AE31" s="17">
        <f>' B2级比赛 '!AE31*5</f>
        <v>6.08333333333335</v>
      </c>
      <c r="AF31" s="17">
        <f>' B2级比赛 '!AF31*5</f>
        <v>5.88709677419355</v>
      </c>
      <c r="AG31" s="13">
        <f>' B2级比赛 '!AG31*5</f>
        <v>820.138914833832</v>
      </c>
      <c r="AH31" s="14">
        <f>' B2级比赛 '!AH31*5</f>
        <v>7.88595110417146</v>
      </c>
      <c r="AI31" s="12">
        <f>' B2级比赛 '!AI31*5</f>
        <v>0</v>
      </c>
      <c r="AJ31" s="12"/>
      <c r="AK31" s="12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23"/>
      <c r="BO31" s="23"/>
      <c r="BP31" s="23"/>
      <c r="BQ31" s="23"/>
      <c r="BR31" s="23"/>
      <c r="BS31" s="23"/>
      <c r="BT31" s="23"/>
      <c r="BU31" s="2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>
      <c r="A32" s="11" t="s">
        <v>94</v>
      </c>
      <c r="B32" s="12">
        <f>' B2级比赛 '!B32*5</f>
        <v>187.5</v>
      </c>
      <c r="C32" s="12">
        <f>' B2级比赛 '!C32*5</f>
        <v>131.25</v>
      </c>
      <c r="D32" s="15">
        <f>' B2级比赛 '!D32*5</f>
        <v>93.75</v>
      </c>
      <c r="E32" s="15">
        <f>' B2级比赛 '!E32*5</f>
        <v>65.625</v>
      </c>
      <c r="F32" s="15">
        <f>' B2级比赛 '!F32*5</f>
        <v>37.5</v>
      </c>
      <c r="G32" s="15">
        <f>' B2级比赛 '!G32*5</f>
        <v>31.25</v>
      </c>
      <c r="H32" s="15">
        <f>' B2级比赛 '!H32*5</f>
        <v>26.7857142857143</v>
      </c>
      <c r="I32" s="15">
        <f>' B2级比赛 '!I32*5</f>
        <v>23.4375</v>
      </c>
      <c r="J32" s="15">
        <f>' B2级比赛 '!J32*5</f>
        <v>20.8333333333333</v>
      </c>
      <c r="K32" s="15">
        <f>' B2级比赛 '!K32*5</f>
        <v>18.75</v>
      </c>
      <c r="L32" s="15">
        <f>' B2级比赛 '!L32*5</f>
        <v>17.0454545454545</v>
      </c>
      <c r="M32" s="15">
        <f>' B2级比赛 '!M32*5</f>
        <v>15.625</v>
      </c>
      <c r="N32" s="15">
        <f>' B2级比赛 '!N32*5</f>
        <v>14.4230769230769</v>
      </c>
      <c r="O32" s="15">
        <f>' B2级比赛 '!O32*5</f>
        <v>13.3928571428571</v>
      </c>
      <c r="P32" s="12">
        <f>' B2级比赛 '!P32*5</f>
        <v>12.5</v>
      </c>
      <c r="Q32" s="12">
        <f>' B2级比赛 '!Q32*5</f>
        <v>11.71875</v>
      </c>
      <c r="R32" s="12">
        <f>' B2级比赛 '!R32*5</f>
        <v>11.0294117647059</v>
      </c>
      <c r="S32" s="12">
        <f>' B2级比赛 '!S32*5</f>
        <v>10.4166666666667</v>
      </c>
      <c r="T32" s="12">
        <f>' B2级比赛 '!T32*5</f>
        <v>9.86842105263158</v>
      </c>
      <c r="U32" s="12">
        <f>' B2级比赛 '!U32*5</f>
        <v>9.375</v>
      </c>
      <c r="V32" s="12">
        <f>' B2级比赛 '!V32*5</f>
        <v>8.92857142857143</v>
      </c>
      <c r="W32" s="12">
        <f>' B2级比赛 '!W32*5</f>
        <v>8.52272727272727</v>
      </c>
      <c r="X32" s="12">
        <f>' B2级比赛 '!X32*5</f>
        <v>8.15217391304348</v>
      </c>
      <c r="Y32" s="12">
        <f>' B2级比赛 '!Y32*5</f>
        <v>7.8125</v>
      </c>
      <c r="Z32" s="12">
        <f>' B2级比赛 '!Z32*5</f>
        <v>7.5</v>
      </c>
      <c r="AA32" s="12">
        <f>' B2级比赛 '!AA32*5</f>
        <v>7.21153846153846</v>
      </c>
      <c r="AB32" s="12">
        <f>' B2级比赛 '!AB32*5</f>
        <v>6.94444444444444</v>
      </c>
      <c r="AC32" s="12">
        <f>' B2级比赛 '!AC32*5</f>
        <v>6.69642857142857</v>
      </c>
      <c r="AD32" s="12">
        <f>' B2级比赛 '!AD32*5</f>
        <v>6.46551724137931</v>
      </c>
      <c r="AE32" s="12">
        <f>' B2级比赛 '!AE32*5</f>
        <v>6.25</v>
      </c>
      <c r="AF32" s="12">
        <f>' B2级比赛 '!AF32*5</f>
        <v>6.04838709677419</v>
      </c>
      <c r="AG32" s="12">
        <f>' B2级比赛 '!AG32*5</f>
        <v>5.859375</v>
      </c>
      <c r="AH32" s="13">
        <f>' B2级比赛 '!AH32*5</f>
        <v>848.467849144348</v>
      </c>
      <c r="AI32" s="14">
        <f>' B2级比赛 '!AI32*5</f>
        <v>7.85618378837359</v>
      </c>
      <c r="AJ32" s="12"/>
      <c r="AK32" s="12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23"/>
      <c r="BO32" s="23"/>
      <c r="BP32" s="23"/>
      <c r="BQ32" s="23"/>
      <c r="BR32" s="23"/>
      <c r="BS32" s="23"/>
      <c r="BT32" s="23"/>
      <c r="BU32" s="2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>
      <c r="A33" s="11" t="s">
        <v>95</v>
      </c>
      <c r="B33" s="12">
        <f>' B2级比赛 '!B33*5</f>
        <v>197.5</v>
      </c>
      <c r="C33" s="12">
        <f>' B2级比赛 '!C33*5</f>
        <v>138.25</v>
      </c>
      <c r="D33" s="15">
        <f>' B2级比赛 '!D33*5</f>
        <v>98.75</v>
      </c>
      <c r="E33" s="15">
        <f>' B2级比赛 '!E33*5</f>
        <v>69.125</v>
      </c>
      <c r="F33" s="15">
        <f>' B2级比赛 '!F33*5</f>
        <v>39.5</v>
      </c>
      <c r="G33" s="15">
        <f>' B2级比赛 '!G33*5</f>
        <v>32.9166666666667</v>
      </c>
      <c r="H33" s="15">
        <f>' B2级比赛 '!H33*5</f>
        <v>28.2142857142857</v>
      </c>
      <c r="I33" s="15">
        <f>' B2级比赛 '!I33*5</f>
        <v>24.6875</v>
      </c>
      <c r="J33" s="15">
        <f>' B2级比赛 '!J33*5</f>
        <v>21.9444444444444</v>
      </c>
      <c r="K33" s="15">
        <f>' B2级比赛 '!K33*5</f>
        <v>19.75</v>
      </c>
      <c r="L33" s="15">
        <f>' B2级比赛 '!L33*5</f>
        <v>17.9545454545455</v>
      </c>
      <c r="M33" s="15">
        <f>' B2级比赛 '!M33*5</f>
        <v>16.4583333333333</v>
      </c>
      <c r="N33" s="15">
        <f>' B2级比赛 '!N33*5</f>
        <v>15.1923076923077</v>
      </c>
      <c r="O33" s="15">
        <f>' B2级比赛 '!O33*5</f>
        <v>14.1071428571429</v>
      </c>
      <c r="P33" s="12">
        <f>' B2级比赛 '!P33*5</f>
        <v>13.1666666666667</v>
      </c>
      <c r="Q33" s="12">
        <f>' B2级比赛 '!Q33*5</f>
        <v>12.34375</v>
      </c>
      <c r="R33" s="12">
        <f>' B2级比赛 '!R33*5</f>
        <v>11.6176470588235</v>
      </c>
      <c r="S33" s="12">
        <f>' B2级比赛 '!S33*5</f>
        <v>10.9722222222222</v>
      </c>
      <c r="T33" s="12">
        <f>' B2级比赛 '!T33*5</f>
        <v>10.3947368421053</v>
      </c>
      <c r="U33" s="12">
        <f>' B2级比赛 '!U33*5</f>
        <v>9.875</v>
      </c>
      <c r="V33" s="12">
        <f>' B2级比赛 '!V33*5</f>
        <v>9.40476190476191</v>
      </c>
      <c r="W33" s="12">
        <f>' B2级比赛 '!W33*5</f>
        <v>8.97727272727273</v>
      </c>
      <c r="X33" s="12">
        <f>' B2级比赛 '!X33*5</f>
        <v>8.58695652173913</v>
      </c>
      <c r="Y33" s="12">
        <f>' B2级比赛 '!Y33*5</f>
        <v>8.22916666666667</v>
      </c>
      <c r="Z33" s="12">
        <f>' B2级比赛 '!Z33*5</f>
        <v>7.9</v>
      </c>
      <c r="AA33" s="12">
        <f>' B2级比赛 '!AA33*5</f>
        <v>7.59615384615385</v>
      </c>
      <c r="AB33" s="12">
        <f>' B2级比赛 '!AB33*5</f>
        <v>7.31481481481481</v>
      </c>
      <c r="AC33" s="12">
        <f>' B2级比赛 '!AC33*5</f>
        <v>7.05357142857143</v>
      </c>
      <c r="AD33" s="12">
        <f>' B2级比赛 '!AD33*5</f>
        <v>6.81034482758621</v>
      </c>
      <c r="AE33" s="12">
        <f>' B2级比赛 '!AE33*5</f>
        <v>6.58333333333333</v>
      </c>
      <c r="AF33" s="12">
        <f>' B2级比赛 '!AF33*5</f>
        <v>6.37096774193548</v>
      </c>
      <c r="AG33" s="12">
        <f>' B2级比赛 '!AG33*5</f>
        <v>6.171875</v>
      </c>
      <c r="AH33" s="12">
        <f>' B2级比赛 '!AH33*5</f>
        <v>5.9848484848485</v>
      </c>
      <c r="AI33" s="12">
        <f>' B2级比赛 '!AI33*5</f>
        <v>5.80882352941175</v>
      </c>
      <c r="AJ33" s="13">
        <f>' B2级比赛 '!AJ33*5</f>
        <v>905.513139779639</v>
      </c>
      <c r="AK33" s="14">
        <f>' B2级比赛 '!AK33*5</f>
        <v>7.87402730243165</v>
      </c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23"/>
      <c r="BO33" s="23"/>
      <c r="BP33" s="23"/>
      <c r="BQ33" s="23"/>
      <c r="BR33" s="23"/>
      <c r="BS33" s="23"/>
      <c r="BT33" s="23"/>
      <c r="BU33" s="2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>
      <c r="A34" s="11" t="s">
        <v>96</v>
      </c>
      <c r="B34" s="12">
        <f>' B2级比赛 '!B34*5</f>
        <v>202.5</v>
      </c>
      <c r="C34" s="12">
        <f>' B2级比赛 '!C34*5</f>
        <v>141.75</v>
      </c>
      <c r="D34" s="15">
        <f>' B2级比赛 '!D34*5</f>
        <v>101.25</v>
      </c>
      <c r="E34" s="15">
        <f>' B2级比赛 '!E34*5</f>
        <v>70.875</v>
      </c>
      <c r="F34" s="15">
        <f>' B2级比赛 '!F34*5</f>
        <v>40.5</v>
      </c>
      <c r="G34" s="15">
        <f>' B2级比赛 '!G34*5</f>
        <v>33.75</v>
      </c>
      <c r="H34" s="15">
        <f>' B2级比赛 '!H34*5</f>
        <v>28.9285714285714</v>
      </c>
      <c r="I34" s="15">
        <f>' B2级比赛 '!I34*5</f>
        <v>25.3125</v>
      </c>
      <c r="J34" s="15">
        <f>' B2级比赛 '!J34*5</f>
        <v>22.5</v>
      </c>
      <c r="K34" s="15">
        <f>' B2级比赛 '!K34*5</f>
        <v>20.25</v>
      </c>
      <c r="L34" s="15">
        <f>' B2级比赛 '!L34*5</f>
        <v>18.4090909090909</v>
      </c>
      <c r="M34" s="15">
        <f>' B2级比赛 '!M34*5</f>
        <v>16.875</v>
      </c>
      <c r="N34" s="15">
        <f>' B2级比赛 '!N34*5</f>
        <v>15.5769230769231</v>
      </c>
      <c r="O34" s="15">
        <f>' B2级比赛 '!O34*5</f>
        <v>14.4642857142857</v>
      </c>
      <c r="P34" s="12">
        <f>' B2级比赛 '!P34*5</f>
        <v>13.5</v>
      </c>
      <c r="Q34" s="12">
        <f>' B2级比赛 '!Q34*5</f>
        <v>12.65625</v>
      </c>
      <c r="R34" s="12">
        <f>' B2级比赛 '!R34*5</f>
        <v>11.9117647058824</v>
      </c>
      <c r="S34" s="12">
        <f>' B2级比赛 '!S34*5</f>
        <v>11.25</v>
      </c>
      <c r="T34" s="12">
        <f>' B2级比赛 '!T34*5</f>
        <v>10.6578947368421</v>
      </c>
      <c r="U34" s="12">
        <f>' B2级比赛 '!U34*5</f>
        <v>10.125</v>
      </c>
      <c r="V34" s="12">
        <f>' B2级比赛 '!V34*5</f>
        <v>9.64285714285714</v>
      </c>
      <c r="W34" s="12">
        <f>' B2级比赛 '!W34*5</f>
        <v>9.20454545454545</v>
      </c>
      <c r="X34" s="12">
        <f>' B2级比赛 '!X34*5</f>
        <v>8.80434782608696</v>
      </c>
      <c r="Y34" s="12">
        <f>' B2级比赛 '!Y34*5</f>
        <v>8.4375</v>
      </c>
      <c r="Z34" s="12">
        <f>' B2级比赛 '!Z34*5</f>
        <v>8.1</v>
      </c>
      <c r="AA34" s="12">
        <f>' B2级比赛 '!AA34*5</f>
        <v>7.78846153846154</v>
      </c>
      <c r="AB34" s="12">
        <f>' B2级比赛 '!AB34*5</f>
        <v>7.5</v>
      </c>
      <c r="AC34" s="12">
        <f>' B2级比赛 '!AC34*5</f>
        <v>7.23214285714286</v>
      </c>
      <c r="AD34" s="12">
        <f>' B2级比赛 '!AD34*5</f>
        <v>6.98275862068965</v>
      </c>
      <c r="AE34" s="12">
        <f>' B2级比赛 '!AE34*5</f>
        <v>6.75</v>
      </c>
      <c r="AF34" s="12">
        <f>' B2级比赛 '!AF34*5</f>
        <v>6.53225806451613</v>
      </c>
      <c r="AG34" s="12">
        <f>' B2级比赛 '!AG34*5</f>
        <v>6.328125</v>
      </c>
      <c r="AH34" s="12">
        <f>' B2级比赛 '!AH34*5</f>
        <v>6.13636363636364</v>
      </c>
      <c r="AI34" s="12">
        <f>' B2级比赛 '!AI34*5</f>
        <v>5.95588235294118</v>
      </c>
      <c r="AJ34" s="12">
        <f>' B2级比赛 '!AJ34*5</f>
        <v>5.7857142857143</v>
      </c>
      <c r="AK34" s="13">
        <f>' B2级比赛 '!AK34*5</f>
        <v>934.223237350915</v>
      </c>
      <c r="AL34" s="20">
        <f>' B2级比赛 '!AL34*5</f>
        <v>7.91714607924504</v>
      </c>
      <c r="AM34" s="18"/>
      <c r="AN34" s="18"/>
      <c r="AO34" s="18"/>
      <c r="AP34" s="18">
        <f>' B2级比赛 '!AP34*5</f>
        <v>0</v>
      </c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23"/>
      <c r="BO34" s="23"/>
      <c r="BP34" s="23"/>
      <c r="BQ34" s="23"/>
      <c r="BR34" s="23"/>
      <c r="BS34" s="23"/>
      <c r="BT34" s="23"/>
      <c r="BU34" s="2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>
      <c r="A35" s="11" t="s">
        <v>97</v>
      </c>
      <c r="B35" s="12">
        <f>' B2级比赛 '!B35*5</f>
        <v>212.5</v>
      </c>
      <c r="C35" s="12">
        <f>' B2级比赛 '!C35*5</f>
        <v>148.75</v>
      </c>
      <c r="D35" s="15">
        <f>' B2级比赛 '!D35*5</f>
        <v>106.25</v>
      </c>
      <c r="E35" s="15">
        <f>' B2级比赛 '!E35*5</f>
        <v>74.375</v>
      </c>
      <c r="F35" s="15">
        <f>' B2级比赛 '!F35*5</f>
        <v>42.5</v>
      </c>
      <c r="G35" s="15">
        <f>' B2级比赛 '!G35*5</f>
        <v>35.4166666666667</v>
      </c>
      <c r="H35" s="15">
        <f>' B2级比赛 '!H35*5</f>
        <v>30.3571428571429</v>
      </c>
      <c r="I35" s="15">
        <f>' B2级比赛 '!I35*5</f>
        <v>26.5625</v>
      </c>
      <c r="J35" s="15">
        <f>' B2级比赛 '!J35*5</f>
        <v>23.6111111111111</v>
      </c>
      <c r="K35" s="15">
        <f>' B2级比赛 '!K35*5</f>
        <v>21.25</v>
      </c>
      <c r="L35" s="15">
        <f>' B2级比赛 '!L35*5</f>
        <v>19.3181818181818</v>
      </c>
      <c r="M35" s="15">
        <f>' B2级比赛 '!M35*5</f>
        <v>17.7083333333333</v>
      </c>
      <c r="N35" s="15">
        <f>' B2级比赛 '!N35*5</f>
        <v>16.3461538461538</v>
      </c>
      <c r="O35" s="15">
        <f>' B2级比赛 '!O35*5</f>
        <v>15.1785714285714</v>
      </c>
      <c r="P35" s="12">
        <f>' B2级比赛 '!P35*5</f>
        <v>14.1666666666667</v>
      </c>
      <c r="Q35" s="12">
        <f>' B2级比赛 '!Q35*5</f>
        <v>13.28125</v>
      </c>
      <c r="R35" s="12">
        <f>' B2级比赛 '!R35*5</f>
        <v>12.5</v>
      </c>
      <c r="S35" s="12">
        <f>' B2级比赛 '!S35*5</f>
        <v>11.8055555555556</v>
      </c>
      <c r="T35" s="12">
        <f>' B2级比赛 '!T35*5</f>
        <v>11.1842105263158</v>
      </c>
      <c r="U35" s="12">
        <f>' B2级比赛 '!U35*5</f>
        <v>10.625</v>
      </c>
      <c r="V35" s="12">
        <f>' B2级比赛 '!V35*5</f>
        <v>10.1190476190476</v>
      </c>
      <c r="W35" s="12">
        <f>' B2级比赛 '!W35*5</f>
        <v>9.65909090909091</v>
      </c>
      <c r="X35" s="12">
        <f>' B2级比赛 '!X35*5</f>
        <v>9.23913043478261</v>
      </c>
      <c r="Y35" s="12">
        <f>' B2级比赛 '!Y35*5</f>
        <v>8.85416666666667</v>
      </c>
      <c r="Z35" s="12">
        <f>' B2级比赛 '!Z35*5</f>
        <v>8.5</v>
      </c>
      <c r="AA35" s="12">
        <f>' B2级比赛 '!AA35*5</f>
        <v>8.17307692307692</v>
      </c>
      <c r="AB35" s="12">
        <f>' B2级比赛 '!AB35*5</f>
        <v>7.87037037037037</v>
      </c>
      <c r="AC35" s="12">
        <f>' B2级比赛 '!AC35*5</f>
        <v>7.58928571428571</v>
      </c>
      <c r="AD35" s="12">
        <f>' B2级比赛 '!AD35*5</f>
        <v>7.32758620689655</v>
      </c>
      <c r="AE35" s="12">
        <f>' B2级比赛 '!AE35*5</f>
        <v>7.08333333333333</v>
      </c>
      <c r="AF35" s="12">
        <f>' B2级比赛 '!AF35*5</f>
        <v>6.85483870967742</v>
      </c>
      <c r="AG35" s="12">
        <f>' B2级比赛 '!AG35*5</f>
        <v>6.640625</v>
      </c>
      <c r="AH35" s="12">
        <f>' B2级比赛 '!AH35*5</f>
        <v>6.43939393939394</v>
      </c>
      <c r="AI35" s="12">
        <f>' B2级比赛 '!AI35*5</f>
        <v>6.25</v>
      </c>
      <c r="AJ35" s="12">
        <f>' B2级比赛 '!AJ35*5</f>
        <v>6.07142857142857</v>
      </c>
      <c r="AK35" s="12">
        <f>' B2级比赛 '!AK35*5</f>
        <v>5.9027777777778</v>
      </c>
      <c r="AL35" s="12">
        <f>' B2级比赛 '!AL35*5</f>
        <v>5.74324324324325</v>
      </c>
      <c r="AM35" s="21">
        <f>' B2级比赛 '!AM35*5</f>
        <v>992.003739228771</v>
      </c>
      <c r="AN35" s="20">
        <f>' B2级比赛 '!AN35*5</f>
        <v>8.00003015507073</v>
      </c>
      <c r="AO35" s="18"/>
      <c r="AP35" s="18">
        <f>' B2级比赛 '!AP35*5</f>
        <v>0</v>
      </c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23"/>
      <c r="BO35" s="23"/>
      <c r="BP35" s="23"/>
      <c r="BQ35" s="23"/>
      <c r="BR35" s="23"/>
      <c r="BS35" s="23"/>
      <c r="BT35" s="23"/>
      <c r="BU35" s="2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>
      <c r="A36" s="11" t="s">
        <v>98</v>
      </c>
      <c r="B36" s="12">
        <f>' B2级比赛 '!B36*5</f>
        <v>221</v>
      </c>
      <c r="C36" s="12">
        <f>' B2级比赛 '!C36*5</f>
        <v>154.7</v>
      </c>
      <c r="D36" s="15">
        <f>' B2级比赛 '!D36*5</f>
        <v>110.5</v>
      </c>
      <c r="E36" s="15">
        <f>' B2级比赛 '!E36*5</f>
        <v>77.35</v>
      </c>
      <c r="F36" s="15">
        <f>' B2级比赛 '!F36*5</f>
        <v>44.2</v>
      </c>
      <c r="G36" s="15">
        <f>' B2级比赛 '!G36*5</f>
        <v>36.8333333333333</v>
      </c>
      <c r="H36" s="15">
        <f>' B2级比赛 '!H36*5</f>
        <v>31.5714285714286</v>
      </c>
      <c r="I36" s="15">
        <f>' B2级比赛 '!I36*5</f>
        <v>27.625</v>
      </c>
      <c r="J36" s="15">
        <f>' B2级比赛 '!J36*5</f>
        <v>24.5555555555556</v>
      </c>
      <c r="K36" s="15">
        <f>' B2级比赛 '!K36*5</f>
        <v>22.1</v>
      </c>
      <c r="L36" s="15">
        <f>' B2级比赛 '!L36*5</f>
        <v>20.0909090909091</v>
      </c>
      <c r="M36" s="15">
        <f>' B2级比赛 '!M36*5</f>
        <v>18.4166666666667</v>
      </c>
      <c r="N36" s="15">
        <f>' B2级比赛 '!N36*5</f>
        <v>17</v>
      </c>
      <c r="O36" s="15">
        <f>' B2级比赛 '!O36*5</f>
        <v>15.7857142857143</v>
      </c>
      <c r="P36" s="12">
        <f>' B2级比赛 '!P36*5</f>
        <v>14.7333333333333</v>
      </c>
      <c r="Q36" s="12">
        <f>' B2级比赛 '!Q36*5</f>
        <v>13.8125</v>
      </c>
      <c r="R36" s="12">
        <f>' B2级比赛 '!R36*5</f>
        <v>13</v>
      </c>
      <c r="S36" s="12">
        <f>' B2级比赛 '!S36*5</f>
        <v>12.2777777777778</v>
      </c>
      <c r="T36" s="12">
        <f>' B2级比赛 '!T36*5</f>
        <v>11.6315789473684</v>
      </c>
      <c r="U36" s="12">
        <f>' B2级比赛 '!U36*5</f>
        <v>11.05</v>
      </c>
      <c r="V36" s="12">
        <f>' B2级比赛 '!V36*5</f>
        <v>10.5238095238095</v>
      </c>
      <c r="W36" s="12">
        <f>' B2级比赛 '!W36*5</f>
        <v>10.0454545454545</v>
      </c>
      <c r="X36" s="12">
        <f>' B2级比赛 '!X36*5</f>
        <v>9.60869565217391</v>
      </c>
      <c r="Y36" s="12">
        <f>' B2级比赛 '!Y36*5</f>
        <v>9.20833333333333</v>
      </c>
      <c r="Z36" s="12">
        <f>' B2级比赛 '!Z36*5</f>
        <v>8.84</v>
      </c>
      <c r="AA36" s="12">
        <f>' B2级比赛 '!AA36*5</f>
        <v>8.5</v>
      </c>
      <c r="AB36" s="12">
        <f>' B2级比赛 '!AB36*5</f>
        <v>8.18518518518519</v>
      </c>
      <c r="AC36" s="12">
        <f>' B2级比赛 '!AC36*5</f>
        <v>7.89285714285714</v>
      </c>
      <c r="AD36" s="12">
        <f>' B2级比赛 '!AD36*5</f>
        <v>7.62068965517241</v>
      </c>
      <c r="AE36" s="12">
        <f>' B2级比赛 '!AE36*5</f>
        <v>7.36666666666667</v>
      </c>
      <c r="AF36" s="12">
        <f>' B2级比赛 '!AF36*5</f>
        <v>7.12903225806452</v>
      </c>
      <c r="AG36" s="12">
        <f>' B2级比赛 '!AG36*5</f>
        <v>6.90625</v>
      </c>
      <c r="AH36" s="12">
        <f>' B2级比赛 '!AH36*5</f>
        <v>6.6969696969697</v>
      </c>
      <c r="AI36" s="12">
        <f>' B2级比赛 '!AI36*5</f>
        <v>6.5</v>
      </c>
      <c r="AJ36" s="12">
        <f>' B2级比赛 '!AJ36*5</f>
        <v>6.31428571428571</v>
      </c>
      <c r="AK36" s="12">
        <f>' B2级比赛 '!AK36*5</f>
        <v>6.13888888888889</v>
      </c>
      <c r="AL36" s="12">
        <f>' B2级比赛 '!AL36*5</f>
        <v>5.97297297297297</v>
      </c>
      <c r="AM36" s="12">
        <f>' B2级比赛 '!AM36*5</f>
        <v>5.8157894736842</v>
      </c>
      <c r="AN36" s="21">
        <f>' B2级比赛 '!AN36*5</f>
        <v>1037.49967827161</v>
      </c>
      <c r="AO36" s="20">
        <f>' B2级比赛 '!AO36*5</f>
        <v>8.04263316489617</v>
      </c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23"/>
      <c r="BO36" s="23"/>
      <c r="BP36" s="23"/>
      <c r="BQ36" s="23"/>
      <c r="BR36" s="23"/>
      <c r="BS36" s="23"/>
      <c r="BT36" s="23"/>
      <c r="BU36" s="2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>
      <c r="A37" s="11" t="s">
        <v>99</v>
      </c>
      <c r="B37" s="12">
        <f>' B2级比赛 '!B37*5</f>
        <v>226</v>
      </c>
      <c r="C37" s="12">
        <f>' B2级比赛 '!C37*5</f>
        <v>158.2</v>
      </c>
      <c r="D37" s="15">
        <f>' B2级比赛 '!D37*5</f>
        <v>113</v>
      </c>
      <c r="E37" s="15">
        <f>' B2级比赛 '!E37*5</f>
        <v>79.1</v>
      </c>
      <c r="F37" s="15">
        <f>' B2级比赛 '!F37*5</f>
        <v>45.2</v>
      </c>
      <c r="G37" s="15">
        <f>' B2级比赛 '!G37*5</f>
        <v>37.6666666666667</v>
      </c>
      <c r="H37" s="15">
        <f>' B2级比赛 '!H37*5</f>
        <v>32.2857142857143</v>
      </c>
      <c r="I37" s="15">
        <f>' B2级比赛 '!I37*5</f>
        <v>28.25</v>
      </c>
      <c r="J37" s="15">
        <f>' B2级比赛 '!J37*5</f>
        <v>25.1111111111111</v>
      </c>
      <c r="K37" s="15">
        <f>' B2级比赛 '!K37*5</f>
        <v>22.6</v>
      </c>
      <c r="L37" s="15">
        <f>' B2级比赛 '!L37*5</f>
        <v>20.5454545454545</v>
      </c>
      <c r="M37" s="15">
        <f>' B2级比赛 '!M37*5</f>
        <v>18.8333333333333</v>
      </c>
      <c r="N37" s="15">
        <f>' B2级比赛 '!N37*5</f>
        <v>17.3846153846154</v>
      </c>
      <c r="O37" s="15">
        <f>' B2级比赛 '!O37*5</f>
        <v>16.1428571428571</v>
      </c>
      <c r="P37" s="12">
        <f>' B2级比赛 '!P37*5</f>
        <v>15.0666666666667</v>
      </c>
      <c r="Q37" s="12">
        <f>' B2级比赛 '!Q37*5</f>
        <v>14.125</v>
      </c>
      <c r="R37" s="12">
        <f>' B2级比赛 '!R37*5</f>
        <v>13.2941176470588</v>
      </c>
      <c r="S37" s="12">
        <f>' B2级比赛 '!S37*5</f>
        <v>12.5555555555556</v>
      </c>
      <c r="T37" s="12">
        <f>' B2级比赛 '!T37*5</f>
        <v>11.8947368421053</v>
      </c>
      <c r="U37" s="12">
        <f>' B2级比赛 '!U37*5</f>
        <v>11.3</v>
      </c>
      <c r="V37" s="12">
        <f>' B2级比赛 '!V37*5</f>
        <v>10.7619047619048</v>
      </c>
      <c r="W37" s="12">
        <f>' B2级比赛 '!W37*5</f>
        <v>10.2727272727273</v>
      </c>
      <c r="X37" s="12">
        <f>' B2级比赛 '!X37*5</f>
        <v>9.82608695652174</v>
      </c>
      <c r="Y37" s="12">
        <f>' B2级比赛 '!Y37*5</f>
        <v>9.41666666666667</v>
      </c>
      <c r="Z37" s="12">
        <f>' B2级比赛 '!Z37*5</f>
        <v>9.04</v>
      </c>
      <c r="AA37" s="12">
        <f>' B2级比赛 '!AA37*5</f>
        <v>8.69230769230769</v>
      </c>
      <c r="AB37" s="12">
        <f>' B2级比赛 '!AB37*5</f>
        <v>8.37037037037037</v>
      </c>
      <c r="AC37" s="12">
        <f>' B2级比赛 '!AC37*5</f>
        <v>8.07142857142857</v>
      </c>
      <c r="AD37" s="12">
        <f>' B2级比赛 '!AD37*5</f>
        <v>7.79310344827586</v>
      </c>
      <c r="AE37" s="12">
        <f>' B2级比赛 '!AE37*5</f>
        <v>7.53333333333333</v>
      </c>
      <c r="AF37" s="12">
        <f>' B2级比赛 '!AF37*5</f>
        <v>7.29032258064516</v>
      </c>
      <c r="AG37" s="12">
        <f>' B2级比赛 '!AG37*5</f>
        <v>7.0625</v>
      </c>
      <c r="AH37" s="12">
        <f>' B2级比赛 '!AH37*5</f>
        <v>6.84848484848485</v>
      </c>
      <c r="AI37" s="12">
        <f>' B2级比赛 '!AI37*5</f>
        <v>6.64705882352941</v>
      </c>
      <c r="AJ37" s="12">
        <f>' B2级比赛 '!AJ37*5</f>
        <v>6.45714285714286</v>
      </c>
      <c r="AK37" s="12">
        <f>' B2级比赛 '!AK37*5</f>
        <v>6.27777777777778</v>
      </c>
      <c r="AL37" s="12">
        <f>' B2级比赛 '!AL37*5</f>
        <v>6.10810810810811</v>
      </c>
      <c r="AM37" s="12">
        <f>' B2级比赛 '!AM37*5</f>
        <v>5.94736842105263</v>
      </c>
      <c r="AN37" s="12">
        <f>' B2级比赛 '!AN37*5</f>
        <v>5.7948717948718</v>
      </c>
      <c r="AO37" s="12">
        <f>' B2级比赛 '!AO37*5</f>
        <v>5.65</v>
      </c>
      <c r="AP37" s="21">
        <f>' B2级比赛 '!AP37*5</f>
        <v>1072.41739346629</v>
      </c>
      <c r="AQ37" s="20">
        <f>' B2级比赛 '!AQ37*5</f>
        <v>8.00311487661409</v>
      </c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23"/>
      <c r="BO37" s="23"/>
      <c r="BP37" s="23"/>
      <c r="BQ37" s="23"/>
      <c r="BR37" s="23"/>
      <c r="BS37" s="23"/>
      <c r="BT37" s="23"/>
      <c r="BU37" s="2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>
      <c r="A38" s="11" t="s">
        <v>100</v>
      </c>
      <c r="B38" s="12">
        <f>' B2级比赛 '!B38*5</f>
        <v>232.5</v>
      </c>
      <c r="C38" s="12">
        <f>' B2级比赛 '!C38*5</f>
        <v>162.75</v>
      </c>
      <c r="D38" s="15">
        <f>' B2级比赛 '!D38*5</f>
        <v>116.25</v>
      </c>
      <c r="E38" s="15">
        <f>' B2级比赛 '!E38*5</f>
        <v>81.375</v>
      </c>
      <c r="F38" s="15">
        <f>' B2级比赛 '!F38*5</f>
        <v>46.5</v>
      </c>
      <c r="G38" s="15">
        <f>' B2级比赛 '!G38*5</f>
        <v>38.75</v>
      </c>
      <c r="H38" s="15">
        <f>' B2级比赛 '!H38*5</f>
        <v>33.2142857142857</v>
      </c>
      <c r="I38" s="15">
        <f>' B2级比赛 '!I38*5</f>
        <v>29.0625</v>
      </c>
      <c r="J38" s="15">
        <f>' B2级比赛 '!J38*5</f>
        <v>25.8333333333333</v>
      </c>
      <c r="K38" s="15">
        <f>' B2级比赛 '!K38*5</f>
        <v>23.25</v>
      </c>
      <c r="L38" s="15">
        <f>' B2级比赛 '!L38*5</f>
        <v>21.1363636363636</v>
      </c>
      <c r="M38" s="15">
        <f>' B2级比赛 '!M38*5</f>
        <v>19.375</v>
      </c>
      <c r="N38" s="15">
        <f>' B2级比赛 '!N38*5</f>
        <v>17.8846153846154</v>
      </c>
      <c r="O38" s="15">
        <f>' B2级比赛 '!O38*5</f>
        <v>16.6071428571429</v>
      </c>
      <c r="P38" s="12">
        <f>' B2级比赛 '!P38*5</f>
        <v>15.5</v>
      </c>
      <c r="Q38" s="12">
        <f>' B2级比赛 '!Q38*5</f>
        <v>14.53125</v>
      </c>
      <c r="R38" s="12">
        <f>' B2级比赛 '!R38*5</f>
        <v>13.6764705882353</v>
      </c>
      <c r="S38" s="12">
        <f>' B2级比赛 '!S38*5</f>
        <v>12.9166666666667</v>
      </c>
      <c r="T38" s="12">
        <f>' B2级比赛 '!T38*5</f>
        <v>12.2368421052632</v>
      </c>
      <c r="U38" s="12">
        <f>' B2级比赛 '!U38*5</f>
        <v>11.625</v>
      </c>
      <c r="V38" s="12">
        <f>' B2级比赛 '!V38*5</f>
        <v>11.0714285714286</v>
      </c>
      <c r="W38" s="12">
        <f>' B2级比赛 '!W38*5</f>
        <v>10.5681818181818</v>
      </c>
      <c r="X38" s="12">
        <f>' B2级比赛 '!X38*5</f>
        <v>10.1086956521739</v>
      </c>
      <c r="Y38" s="12">
        <f>' B2级比赛 '!Y38*5</f>
        <v>9.6875</v>
      </c>
      <c r="Z38" s="12">
        <f>' B2级比赛 '!Z38*5</f>
        <v>9.3</v>
      </c>
      <c r="AA38" s="12">
        <f>' B2级比赛 '!AA38*5</f>
        <v>8.94230769230769</v>
      </c>
      <c r="AB38" s="12">
        <f>' B2级比赛 '!AB38*5</f>
        <v>8.61111111111111</v>
      </c>
      <c r="AC38" s="12">
        <f>' B2级比赛 '!AC38*5</f>
        <v>8.30357142857143</v>
      </c>
      <c r="AD38" s="12">
        <f>' B2级比赛 '!AD38*5</f>
        <v>8.01724137931035</v>
      </c>
      <c r="AE38" s="12">
        <f>' B2级比赛 '!AE38*5</f>
        <v>7.75</v>
      </c>
      <c r="AF38" s="12">
        <f>' B2级比赛 '!AF38*5</f>
        <v>7.5</v>
      </c>
      <c r="AG38" s="12">
        <f>' B2级比赛 '!AG38*5</f>
        <v>7.265625</v>
      </c>
      <c r="AH38" s="12">
        <f>' B2级比赛 '!AH38*5</f>
        <v>7.04545454545455</v>
      </c>
      <c r="AI38" s="12">
        <f>' B2级比赛 '!AI38*5</f>
        <v>6.83823529411765</v>
      </c>
      <c r="AJ38" s="12">
        <f>' B2级比赛 '!AJ38*5</f>
        <v>6.64285714285714</v>
      </c>
      <c r="AK38" s="12">
        <f>' B2级比赛 '!AK38*5</f>
        <v>6.45833333333333</v>
      </c>
      <c r="AL38" s="12">
        <f>' B2级比赛 '!AL38*5</f>
        <v>6.28378378378378</v>
      </c>
      <c r="AM38" s="12">
        <f>' B2级比赛 '!AM38*5</f>
        <v>6.11842105263158</v>
      </c>
      <c r="AN38" s="12">
        <f>' B2级比赛 '!AN38*5</f>
        <v>5.96153846153846</v>
      </c>
      <c r="AO38" s="12">
        <f>' B2级比赛 '!AO38*5</f>
        <v>5.8125</v>
      </c>
      <c r="AP38" s="12">
        <f>' B2级比赛 '!AP38*5</f>
        <v>5.67073170731705</v>
      </c>
      <c r="AQ38" s="21">
        <f>' B2级比赛 '!AQ38*5</f>
        <v>1108.93198826002</v>
      </c>
      <c r="AR38" s="20">
        <f>' B2级比赛 '!AR38*5</f>
        <v>7.9779279730937</v>
      </c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21"/>
      <c r="BH38" s="18"/>
      <c r="BI38" s="18"/>
      <c r="BJ38" s="18"/>
      <c r="BK38" s="18"/>
      <c r="BL38" s="18"/>
      <c r="BM38" s="18"/>
      <c r="BN38" s="23"/>
      <c r="BO38" s="23"/>
      <c r="BP38" s="23"/>
      <c r="BQ38" s="23"/>
      <c r="BR38" s="23"/>
      <c r="BS38" s="23"/>
      <c r="BT38" s="23"/>
      <c r="BU38" s="2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>
      <c r="A39" s="11" t="s">
        <v>101</v>
      </c>
      <c r="B39" s="12">
        <f>' B2级比赛 '!B39*5</f>
        <v>240</v>
      </c>
      <c r="C39" s="12">
        <f>' B2级比赛 '!C39*5</f>
        <v>168</v>
      </c>
      <c r="D39" s="15">
        <f>' B2级比赛 '!D39*5</f>
        <v>120</v>
      </c>
      <c r="E39" s="15">
        <f>' B2级比赛 '!E39*5</f>
        <v>84</v>
      </c>
      <c r="F39" s="15">
        <f>' B2级比赛 '!F39*5</f>
        <v>48</v>
      </c>
      <c r="G39" s="15">
        <f>' B2级比赛 '!G39*5</f>
        <v>40</v>
      </c>
      <c r="H39" s="15">
        <f>' B2级比赛 '!H39*5</f>
        <v>34.2857142857143</v>
      </c>
      <c r="I39" s="15">
        <f>' B2级比赛 '!I39*5</f>
        <v>30</v>
      </c>
      <c r="J39" s="15">
        <f>' B2级比赛 '!J39*5</f>
        <v>26.6666666666667</v>
      </c>
      <c r="K39" s="15">
        <f>' B2级比赛 '!K39*5</f>
        <v>24</v>
      </c>
      <c r="L39" s="15">
        <f>' B2级比赛 '!L39*5</f>
        <v>21.8181818181818</v>
      </c>
      <c r="M39" s="15">
        <f>' B2级比赛 '!M39*5</f>
        <v>20</v>
      </c>
      <c r="N39" s="15">
        <f>' B2级比赛 '!N39*5</f>
        <v>18.4615384615385</v>
      </c>
      <c r="O39" s="15">
        <f>' B2级比赛 '!O39*5</f>
        <v>17.1428571428571</v>
      </c>
      <c r="P39" s="12">
        <f>' B2级比赛 '!P39*5</f>
        <v>16</v>
      </c>
      <c r="Q39" s="12">
        <f>' B2级比赛 '!Q39*5</f>
        <v>15</v>
      </c>
      <c r="R39" s="12">
        <f>' B2级比赛 '!R39*5</f>
        <v>14.1176470588235</v>
      </c>
      <c r="S39" s="12">
        <f>' B2级比赛 '!S39*5</f>
        <v>13.3333333333333</v>
      </c>
      <c r="T39" s="12">
        <f>' B2级比赛 '!T39*5</f>
        <v>12.6315789473684</v>
      </c>
      <c r="U39" s="12">
        <f>' B2级比赛 '!U39*5</f>
        <v>12</v>
      </c>
      <c r="V39" s="12">
        <f>' B2级比赛 '!V39*5</f>
        <v>11.4285714285714</v>
      </c>
      <c r="W39" s="12">
        <f>' B2级比赛 '!W39*5</f>
        <v>10.9090909090909</v>
      </c>
      <c r="X39" s="12">
        <f>' B2级比赛 '!X39*5</f>
        <v>10.4347826086957</v>
      </c>
      <c r="Y39" s="12">
        <f>' B2级比赛 '!Y39*5</f>
        <v>10</v>
      </c>
      <c r="Z39" s="12">
        <f>' B2级比赛 '!Z39*5</f>
        <v>9.6</v>
      </c>
      <c r="AA39" s="12">
        <f>' B2级比赛 '!AA39*5</f>
        <v>9.23076923076923</v>
      </c>
      <c r="AB39" s="12">
        <f>' B2级比赛 '!AB39*5</f>
        <v>8.88888888888889</v>
      </c>
      <c r="AC39" s="12">
        <f>' B2级比赛 '!AC39*5</f>
        <v>8.57142857142857</v>
      </c>
      <c r="AD39" s="12">
        <f>' B2级比赛 '!AD39*5</f>
        <v>8.27586206896552</v>
      </c>
      <c r="AE39" s="12">
        <f>' B2级比赛 '!AE39*5</f>
        <v>8</v>
      </c>
      <c r="AF39" s="12">
        <f>' B2级比赛 '!AF39*5</f>
        <v>7.74193548387097</v>
      </c>
      <c r="AG39" s="12">
        <f>' B2级比赛 '!AG39*5</f>
        <v>7.5</v>
      </c>
      <c r="AH39" s="12">
        <f>' B2级比赛 '!AH39*5</f>
        <v>7.27272727272727</v>
      </c>
      <c r="AI39" s="12">
        <f>' B2级比赛 '!AI39*5</f>
        <v>7.05882352941177</v>
      </c>
      <c r="AJ39" s="12">
        <f>' B2级比赛 '!AJ39*5</f>
        <v>6.85714285714286</v>
      </c>
      <c r="AK39" s="12">
        <f>' B2级比赛 '!AK39*5</f>
        <v>6.66666666666667</v>
      </c>
      <c r="AL39" s="12">
        <f>' B2级比赛 '!AL39*5</f>
        <v>6.48648648648649</v>
      </c>
      <c r="AM39" s="12">
        <f>' B2级比赛 '!AM39*5</f>
        <v>6.31578947368421</v>
      </c>
      <c r="AN39" s="12">
        <f>' B2级比赛 '!AN39*5</f>
        <v>6.15384615384615</v>
      </c>
      <c r="AO39" s="12">
        <f>' B2级比赛 '!AO39*5</f>
        <v>6</v>
      </c>
      <c r="AP39" s="12">
        <f>' B2级比赛 '!AP39*5</f>
        <v>5.85365853658537</v>
      </c>
      <c r="AQ39" s="12">
        <f>' B2级比赛 '!AQ39*5</f>
        <v>5.7142857142857</v>
      </c>
      <c r="AR39" s="12">
        <f>' B2级比赛 '!AR39*5</f>
        <v>5.5813953488372</v>
      </c>
      <c r="AS39" s="21">
        <f>' B2级比赛 '!AS39*5</f>
        <v>1155.99966894444</v>
      </c>
      <c r="AT39" s="20">
        <f>' B2级比赛 '!AT39*5</f>
        <v>8.02777547878082</v>
      </c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23"/>
      <c r="BO39" s="23"/>
      <c r="BP39" s="23"/>
      <c r="BQ39" s="23"/>
      <c r="BR39" s="23"/>
      <c r="BS39" s="23"/>
      <c r="BT39" s="23"/>
      <c r="BU39" s="2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>
      <c r="A40" s="11" t="s">
        <v>102</v>
      </c>
      <c r="B40" s="12">
        <f>' B2级比赛 '!B40*5</f>
        <v>247.5</v>
      </c>
      <c r="C40" s="12">
        <f>' B2级比赛 '!C40*5</f>
        <v>173.25</v>
      </c>
      <c r="D40" s="15">
        <f>' B2级比赛 '!D40*5</f>
        <v>123.75</v>
      </c>
      <c r="E40" s="15">
        <f>' B2级比赛 '!E40*5</f>
        <v>86.625</v>
      </c>
      <c r="F40" s="15">
        <f>' B2级比赛 '!F40*5</f>
        <v>49.5</v>
      </c>
      <c r="G40" s="15">
        <f>' B2级比赛 '!G40*5</f>
        <v>41.25</v>
      </c>
      <c r="H40" s="15">
        <f>' B2级比赛 '!H40*5</f>
        <v>35.3571428571429</v>
      </c>
      <c r="I40" s="15">
        <f>' B2级比赛 '!I40*5</f>
        <v>30.9375</v>
      </c>
      <c r="J40" s="15">
        <f>' B2级比赛 '!J40*5</f>
        <v>27.5</v>
      </c>
      <c r="K40" s="15">
        <f>' B2级比赛 '!K40*5</f>
        <v>24.75</v>
      </c>
      <c r="L40" s="15">
        <f>' B2级比赛 '!L40*5</f>
        <v>22.5</v>
      </c>
      <c r="M40" s="15">
        <f>' B2级比赛 '!M40*5</f>
        <v>20.625</v>
      </c>
      <c r="N40" s="15">
        <f>' B2级比赛 '!N40*5</f>
        <v>19.0384615384615</v>
      </c>
      <c r="O40" s="15">
        <f>' B2级比赛 '!O40*5</f>
        <v>17.6785714285714</v>
      </c>
      <c r="P40" s="12">
        <f>' B2级比赛 '!P40*5</f>
        <v>16.5</v>
      </c>
      <c r="Q40" s="12">
        <f>' B2级比赛 '!Q40*5</f>
        <v>15.46875</v>
      </c>
      <c r="R40" s="12">
        <f>' B2级比赛 '!R40*5</f>
        <v>14.5588235294118</v>
      </c>
      <c r="S40" s="12">
        <f>' B2级比赛 '!S40*5</f>
        <v>13.75</v>
      </c>
      <c r="T40" s="12">
        <f>' B2级比赛 '!T40*5</f>
        <v>13.0263157894737</v>
      </c>
      <c r="U40" s="12">
        <f>' B2级比赛 '!U40*5</f>
        <v>12.375</v>
      </c>
      <c r="V40" s="12">
        <f>' B2级比赛 '!V40*5</f>
        <v>11.7857142857143</v>
      </c>
      <c r="W40" s="12">
        <f>' B2级比赛 '!W40*5</f>
        <v>11.25</v>
      </c>
      <c r="X40" s="12">
        <f>' B2级比赛 '!X40*5</f>
        <v>10.7608695652174</v>
      </c>
      <c r="Y40" s="12">
        <f>' B2级比赛 '!Y40*5</f>
        <v>10.3125</v>
      </c>
      <c r="Z40" s="12">
        <f>' B2级比赛 '!Z40*5</f>
        <v>9.9</v>
      </c>
      <c r="AA40" s="12">
        <f>' B2级比赛 '!AA40*5</f>
        <v>9.51923076923077</v>
      </c>
      <c r="AB40" s="12">
        <f>' B2级比赛 '!AB40*5</f>
        <v>9.16666666666667</v>
      </c>
      <c r="AC40" s="12">
        <f>' B2级比赛 '!AC40*5</f>
        <v>8.83928571428571</v>
      </c>
      <c r="AD40" s="12">
        <f>' B2级比赛 '!AD40*5</f>
        <v>8.53448275862069</v>
      </c>
      <c r="AE40" s="12">
        <f>' B2级比赛 '!AE40*5</f>
        <v>8.25</v>
      </c>
      <c r="AF40" s="12">
        <f>' B2级比赛 '!AF40*5</f>
        <v>7.98387096774194</v>
      </c>
      <c r="AG40" s="12">
        <f>' B2级比赛 '!AG40*5</f>
        <v>7.734375</v>
      </c>
      <c r="AH40" s="12">
        <f>' B2级比赛 '!AH40*5</f>
        <v>7.5</v>
      </c>
      <c r="AI40" s="12">
        <f>' B2级比赛 '!AI40*5</f>
        <v>7.27941176470588</v>
      </c>
      <c r="AJ40" s="12">
        <f>' B2级比赛 '!AJ40*5</f>
        <v>7.07142857142857</v>
      </c>
      <c r="AK40" s="12">
        <f>' B2级比赛 '!AK40*5</f>
        <v>6.875</v>
      </c>
      <c r="AL40" s="12">
        <f>' B2级比赛 '!AL40*5</f>
        <v>6.68918918918919</v>
      </c>
      <c r="AM40" s="12">
        <f>' B2级比赛 '!AM40*5</f>
        <v>6.51315789473684</v>
      </c>
      <c r="AN40" s="12">
        <f>' B2级比赛 '!AN40*5</f>
        <v>6.34615384615385</v>
      </c>
      <c r="AO40" s="12">
        <f>' B2级比赛 '!AO40*5</f>
        <v>6.1875</v>
      </c>
      <c r="AP40" s="12">
        <f>' B2级比赛 '!AP40*5</f>
        <v>6.03658536585366</v>
      </c>
      <c r="AQ40" s="12">
        <f>' B2级比赛 '!AQ40*5</f>
        <v>5.89285714285714</v>
      </c>
      <c r="AR40" s="12">
        <f>' B2级比赛 '!AR40*5</f>
        <v>5.75581395348837</v>
      </c>
      <c r="AS40" s="12">
        <f>' B2级比赛 '!AS40*5</f>
        <v>5.625</v>
      </c>
      <c r="AT40" s="21">
        <f>' B2级比赛 '!AT40*5</f>
        <v>1197.74965859895</v>
      </c>
      <c r="AU40" s="20">
        <f>' B2级比赛 '!AU40*5</f>
        <v>8.03858831274465</v>
      </c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23"/>
      <c r="BO40" s="23"/>
      <c r="BP40" s="23"/>
      <c r="BQ40" s="23"/>
      <c r="BR40" s="23"/>
      <c r="BS40" s="23"/>
      <c r="BT40" s="23"/>
      <c r="BU40" s="2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>
      <c r="A41" s="11" t="s">
        <v>103</v>
      </c>
      <c r="B41" s="12">
        <f>' B2级比赛 '!B41*5</f>
        <v>254</v>
      </c>
      <c r="C41" s="12">
        <f>' B2级比赛 '!C41*5</f>
        <v>177.8</v>
      </c>
      <c r="D41" s="15">
        <f>' B2级比赛 '!D41*5</f>
        <v>127</v>
      </c>
      <c r="E41" s="15">
        <f>' B2级比赛 '!E41*5</f>
        <v>88.9</v>
      </c>
      <c r="F41" s="15">
        <f>' B2级比赛 '!F41*5</f>
        <v>50.8</v>
      </c>
      <c r="G41" s="15">
        <f>' B2级比赛 '!G41*5</f>
        <v>42.3333333333333</v>
      </c>
      <c r="H41" s="15">
        <f>' B2级比赛 '!H41*5</f>
        <v>36.2857142857143</v>
      </c>
      <c r="I41" s="15">
        <f>' B2级比赛 '!I41*5</f>
        <v>31.75</v>
      </c>
      <c r="J41" s="15">
        <f>' B2级比赛 '!J41*5</f>
        <v>28.2222222222222</v>
      </c>
      <c r="K41" s="15">
        <f>' B2级比赛 '!K41*5</f>
        <v>25.4</v>
      </c>
      <c r="L41" s="15">
        <f>' B2级比赛 '!L41*5</f>
        <v>23.0909090909091</v>
      </c>
      <c r="M41" s="15">
        <f>' B2级比赛 '!M41*5</f>
        <v>21.1666666666667</v>
      </c>
      <c r="N41" s="15">
        <f>' B2级比赛 '!N41*5</f>
        <v>19.5384615384615</v>
      </c>
      <c r="O41" s="15">
        <f>' B2级比赛 '!O41*5</f>
        <v>18.1428571428571</v>
      </c>
      <c r="P41" s="12">
        <f>' B2级比赛 '!P41*5</f>
        <v>16.9333333333333</v>
      </c>
      <c r="Q41" s="12">
        <f>' B2级比赛 '!Q41*5</f>
        <v>15.875</v>
      </c>
      <c r="R41" s="12">
        <f>' B2级比赛 '!R41*5</f>
        <v>14.9411764705882</v>
      </c>
      <c r="S41" s="12">
        <f>' B2级比赛 '!S41*5</f>
        <v>14.1111111111111</v>
      </c>
      <c r="T41" s="12">
        <f>' B2级比赛 '!T41*5</f>
        <v>13.3684210526316</v>
      </c>
      <c r="U41" s="12">
        <f>' B2级比赛 '!U41*5</f>
        <v>12.7</v>
      </c>
      <c r="V41" s="12">
        <f>' B2级比赛 '!V41*5</f>
        <v>12.0952380952381</v>
      </c>
      <c r="W41" s="12">
        <f>' B2级比赛 '!W41*5</f>
        <v>11.5454545454545</v>
      </c>
      <c r="X41" s="12">
        <f>' B2级比赛 '!X41*5</f>
        <v>11.0434782608696</v>
      </c>
      <c r="Y41" s="12">
        <f>' B2级比赛 '!Y41*5</f>
        <v>10.5833333333333</v>
      </c>
      <c r="Z41" s="12">
        <f>' B2级比赛 '!Z41*5</f>
        <v>10.16</v>
      </c>
      <c r="AA41" s="12">
        <f>' B2级比赛 '!AA41*5</f>
        <v>9.76923076923077</v>
      </c>
      <c r="AB41" s="12">
        <f>' B2级比赛 '!AB41*5</f>
        <v>9.40740740740741</v>
      </c>
      <c r="AC41" s="12">
        <f>' B2级比赛 '!AC41*5</f>
        <v>9.07142857142857</v>
      </c>
      <c r="AD41" s="12">
        <f>' B2级比赛 '!AD41*5</f>
        <v>8.75862068965517</v>
      </c>
      <c r="AE41" s="12">
        <f>' B2级比赛 '!AE41*5</f>
        <v>8.46666666666666</v>
      </c>
      <c r="AF41" s="12">
        <f>' B2级比赛 '!AF41*5</f>
        <v>8.19354838709677</v>
      </c>
      <c r="AG41" s="12">
        <f>' B2级比赛 '!AG41*5</f>
        <v>7.9375</v>
      </c>
      <c r="AH41" s="12">
        <f>' B2级比赛 '!AH41*5</f>
        <v>7.6969696969697</v>
      </c>
      <c r="AI41" s="12">
        <f>' B2级比赛 '!AI41*5</f>
        <v>7.47058823529412</v>
      </c>
      <c r="AJ41" s="12">
        <f>' B2级比赛 '!AJ41*5</f>
        <v>7.25714285714286</v>
      </c>
      <c r="AK41" s="12">
        <f>' B2级比赛 '!AK41*5</f>
        <v>7.05555555555556</v>
      </c>
      <c r="AL41" s="12">
        <f>' B2级比赛 '!AL41*5</f>
        <v>6.86486486486486</v>
      </c>
      <c r="AM41" s="12">
        <f>' B2级比赛 '!AM41*5</f>
        <v>6.68421052631579</v>
      </c>
      <c r="AN41" s="12">
        <f>' B2级比赛 '!AN41*5</f>
        <v>6.51282051282051</v>
      </c>
      <c r="AO41" s="12">
        <f>' B2级比赛 '!AO41*5</f>
        <v>6.35</v>
      </c>
      <c r="AP41" s="12">
        <f>' B2级比赛 '!AP41*5</f>
        <v>6.19512195121951</v>
      </c>
      <c r="AQ41" s="12">
        <f>' B2级比赛 '!AQ41*5</f>
        <v>6.04761904761905</v>
      </c>
      <c r="AR41" s="12">
        <f>' B2级比赛 '!AR41*5</f>
        <v>5.90697674418605</v>
      </c>
      <c r="AS41" s="12">
        <f>' B2级比赛 '!AS41*5</f>
        <v>5.77272727272727</v>
      </c>
      <c r="AT41" s="12">
        <f>' B2级比赛 '!AT41*5</f>
        <v>5.64444444444445</v>
      </c>
      <c r="AU41" s="21">
        <f>' B2级比赛 '!AU41*5</f>
        <v>1234.85015468337</v>
      </c>
      <c r="AV41" s="20">
        <f>' B2级比赛 '!AV41*5</f>
        <v>8.01850749794396</v>
      </c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23"/>
      <c r="BO41" s="23"/>
      <c r="BP41" s="23"/>
      <c r="BQ41" s="23"/>
      <c r="BR41" s="23"/>
      <c r="BS41" s="23"/>
      <c r="BT41" s="23"/>
      <c r="BU41" s="2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>
      <c r="A42" s="11" t="s">
        <v>104</v>
      </c>
      <c r="B42" s="12">
        <f>' B2级比赛 '!B42*5</f>
        <v>260</v>
      </c>
      <c r="C42" s="12">
        <f>' B2级比赛 '!C42*5</f>
        <v>182</v>
      </c>
      <c r="D42" s="15">
        <f>' B2级比赛 '!D42*5</f>
        <v>130</v>
      </c>
      <c r="E42" s="15">
        <f>' B2级比赛 '!E42*5</f>
        <v>91</v>
      </c>
      <c r="F42" s="15">
        <f>' B2级比赛 '!F42*5</f>
        <v>52</v>
      </c>
      <c r="G42" s="15">
        <f>' B2级比赛 '!G42*5</f>
        <v>43.3333333333333</v>
      </c>
      <c r="H42" s="15">
        <f>' B2级比赛 '!H42*5</f>
        <v>37.1428571428571</v>
      </c>
      <c r="I42" s="15">
        <f>' B2级比赛 '!I42*5</f>
        <v>32.5</v>
      </c>
      <c r="J42" s="15">
        <f>' B2级比赛 '!J42*5</f>
        <v>28.8888888888889</v>
      </c>
      <c r="K42" s="15">
        <f>' B2级比赛 '!K42*5</f>
        <v>26</v>
      </c>
      <c r="L42" s="15">
        <f>' B2级比赛 '!L42*5</f>
        <v>23.6363636363636</v>
      </c>
      <c r="M42" s="15">
        <f>' B2级比赛 '!M42*5</f>
        <v>21.6666666666667</v>
      </c>
      <c r="N42" s="15">
        <f>' B2级比赛 '!N42*5</f>
        <v>20</v>
      </c>
      <c r="O42" s="15">
        <f>' B2级比赛 '!O42*5</f>
        <v>18.5714285714286</v>
      </c>
      <c r="P42" s="12">
        <f>' B2级比赛 '!P42*5</f>
        <v>17.3333333333333</v>
      </c>
      <c r="Q42" s="12">
        <f>' B2级比赛 '!Q42*5</f>
        <v>16.25</v>
      </c>
      <c r="R42" s="12">
        <f>' B2级比赛 '!R42*5</f>
        <v>15.2941176470588</v>
      </c>
      <c r="S42" s="12">
        <f>' B2级比赛 '!S42*5</f>
        <v>14.4444444444444</v>
      </c>
      <c r="T42" s="12">
        <f>' B2级比赛 '!T42*5</f>
        <v>13.6842105263158</v>
      </c>
      <c r="U42" s="12">
        <f>' B2级比赛 '!U42*5</f>
        <v>13</v>
      </c>
      <c r="V42" s="12">
        <f>' B2级比赛 '!V42*5</f>
        <v>12.3809523809524</v>
      </c>
      <c r="W42" s="12">
        <f>' B2级比赛 '!W42*5</f>
        <v>11.8181818181818</v>
      </c>
      <c r="X42" s="12">
        <f>' B2级比赛 '!X42*5</f>
        <v>11.304347826087</v>
      </c>
      <c r="Y42" s="12">
        <f>' B2级比赛 '!Y42*5</f>
        <v>10.8333333333333</v>
      </c>
      <c r="Z42" s="12">
        <f>' B2级比赛 '!Z42*5</f>
        <v>10.4</v>
      </c>
      <c r="AA42" s="12">
        <f>' B2级比赛 '!AA42*5</f>
        <v>10</v>
      </c>
      <c r="AB42" s="12">
        <f>' B2级比赛 '!AB42*5</f>
        <v>9.62962962962963</v>
      </c>
      <c r="AC42" s="12">
        <f>' B2级比赛 '!AC42*5</f>
        <v>9.28571428571429</v>
      </c>
      <c r="AD42" s="12">
        <f>' B2级比赛 '!AD42*5</f>
        <v>8.96551724137931</v>
      </c>
      <c r="AE42" s="12">
        <f>' B2级比赛 '!AE42*5</f>
        <v>8.66666666666667</v>
      </c>
      <c r="AF42" s="12">
        <f>' B2级比赛 '!AF42*5</f>
        <v>8.38709677419355</v>
      </c>
      <c r="AG42" s="12">
        <f>' B2级比赛 '!AG42*5</f>
        <v>8.125</v>
      </c>
      <c r="AH42" s="12">
        <f>' B2级比赛 '!AH42*5</f>
        <v>7.87878787878788</v>
      </c>
      <c r="AI42" s="12">
        <f>' B2级比赛 '!AI42*5</f>
        <v>7.64705882352941</v>
      </c>
      <c r="AJ42" s="12">
        <f>' B2级比赛 '!AJ42*5</f>
        <v>7.42857142857143</v>
      </c>
      <c r="AK42" s="12">
        <f>' B2级比赛 '!AK42*5</f>
        <v>7.22222222222222</v>
      </c>
      <c r="AL42" s="12">
        <f>' B2级比赛 '!AL42*5</f>
        <v>7.02702702702703</v>
      </c>
      <c r="AM42" s="12">
        <f>' B2级比赛 '!AM42*5</f>
        <v>6.84210526315789</v>
      </c>
      <c r="AN42" s="12">
        <f>' B2级比赛 '!AN42*5</f>
        <v>6.66666666666667</v>
      </c>
      <c r="AO42" s="12">
        <f>' B2级比赛 '!AO42*5</f>
        <v>6.5</v>
      </c>
      <c r="AP42" s="12">
        <f>' B2级比赛 '!AP42*5</f>
        <v>6.34146341463415</v>
      </c>
      <c r="AQ42" s="12">
        <f>' B2级比赛 '!AQ42*5</f>
        <v>6.19047619047619</v>
      </c>
      <c r="AR42" s="12">
        <f>' B2级比赛 '!AR42*5</f>
        <v>6.04651162790698</v>
      </c>
      <c r="AS42" s="12">
        <f>' B2级比赛 '!AS42*5</f>
        <v>5.90909090909091</v>
      </c>
      <c r="AT42" s="12">
        <f>' B2级比赛 '!AT42*5</f>
        <v>5.77777777777778</v>
      </c>
      <c r="AU42" s="12">
        <f>' B2级比赛 '!AU42*5</f>
        <v>5.6521739130435</v>
      </c>
      <c r="AV42" s="12">
        <f>' B2级比赛 '!AV42*5</f>
        <v>5.531914893617</v>
      </c>
      <c r="AW42" s="21">
        <f>' B2级比赛 '!AW42*5</f>
        <v>1275.20393218334</v>
      </c>
      <c r="AX42" s="20">
        <f>' B2级比赛 '!AX42*5</f>
        <v>8.02015051687634</v>
      </c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23"/>
      <c r="BO42" s="23"/>
      <c r="BP42" s="23"/>
      <c r="BQ42" s="23"/>
      <c r="BR42" s="23"/>
      <c r="BS42" s="23"/>
      <c r="BT42" s="23"/>
      <c r="BU42" s="2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>
      <c r="A43" s="11" t="s">
        <v>105</v>
      </c>
      <c r="B43" s="12">
        <f>' B2级比赛 '!B43*5</f>
        <v>266</v>
      </c>
      <c r="C43" s="12">
        <f>' B2级比赛 '!C43*5</f>
        <v>186.2</v>
      </c>
      <c r="D43" s="15">
        <f>' B2级比赛 '!D43*5</f>
        <v>133</v>
      </c>
      <c r="E43" s="15">
        <f>' B2级比赛 '!E43*5</f>
        <v>93.1</v>
      </c>
      <c r="F43" s="15">
        <f>' B2级比赛 '!F43*5</f>
        <v>53.2</v>
      </c>
      <c r="G43" s="15">
        <f>' B2级比赛 '!G43*5</f>
        <v>44.3333333333333</v>
      </c>
      <c r="H43" s="15">
        <f>' B2级比赛 '!H43*5</f>
        <v>38</v>
      </c>
      <c r="I43" s="15">
        <f>' B2级比赛 '!I43*5</f>
        <v>33.25</v>
      </c>
      <c r="J43" s="15">
        <f>' B2级比赛 '!J43*5</f>
        <v>29.5555555555556</v>
      </c>
      <c r="K43" s="15">
        <f>' B2级比赛 '!K43*5</f>
        <v>26.6</v>
      </c>
      <c r="L43" s="15">
        <f>' B2级比赛 '!L43*5</f>
        <v>24.1818181818182</v>
      </c>
      <c r="M43" s="15">
        <f>' B2级比赛 '!M43*5</f>
        <v>22.1666666666667</v>
      </c>
      <c r="N43" s="15">
        <f>' B2级比赛 '!N43*5</f>
        <v>20.4615384615385</v>
      </c>
      <c r="O43" s="15">
        <f>' B2级比赛 '!O43*5</f>
        <v>19</v>
      </c>
      <c r="P43" s="12">
        <f>' B2级比赛 '!P43*5</f>
        <v>17.7333333333333</v>
      </c>
      <c r="Q43" s="12">
        <f>' B2级比赛 '!Q43*5</f>
        <v>16.625</v>
      </c>
      <c r="R43" s="12">
        <f>' B2级比赛 '!R43*5</f>
        <v>15.6470588235294</v>
      </c>
      <c r="S43" s="12">
        <f>' B2级比赛 '!S43*5</f>
        <v>14.7777777777778</v>
      </c>
      <c r="T43" s="12">
        <f>' B2级比赛 '!T43*5</f>
        <v>14</v>
      </c>
      <c r="U43" s="12">
        <f>' B2级比赛 '!U43*5</f>
        <v>13.3</v>
      </c>
      <c r="V43" s="12">
        <f>' B2级比赛 '!V43*5</f>
        <v>12.6666666666667</v>
      </c>
      <c r="W43" s="12">
        <f>' B2级比赛 '!W43*5</f>
        <v>12.0909090909091</v>
      </c>
      <c r="X43" s="12">
        <f>' B2级比赛 '!X43*5</f>
        <v>11.5652173913043</v>
      </c>
      <c r="Y43" s="12">
        <f>' B2级比赛 '!Y43*5</f>
        <v>11.0833333333333</v>
      </c>
      <c r="Z43" s="12">
        <f>' B2级比赛 '!Z43*5</f>
        <v>10.64</v>
      </c>
      <c r="AA43" s="12">
        <f>' B2级比赛 '!AA43*5</f>
        <v>10.2307692307692</v>
      </c>
      <c r="AB43" s="12">
        <f>' B2级比赛 '!AB43*5</f>
        <v>9.85185185185185</v>
      </c>
      <c r="AC43" s="12">
        <f>' B2级比赛 '!AC43*5</f>
        <v>9.5</v>
      </c>
      <c r="AD43" s="12">
        <f>' B2级比赛 '!AD43*5</f>
        <v>9.17241379310345</v>
      </c>
      <c r="AE43" s="12">
        <f>' B2级比赛 '!AE43*5</f>
        <v>8.86666666666667</v>
      </c>
      <c r="AF43" s="12">
        <f>' B2级比赛 '!AF43*5</f>
        <v>8.58064516129032</v>
      </c>
      <c r="AG43" s="12">
        <f>' B2级比赛 '!AG43*5</f>
        <v>8.3125</v>
      </c>
      <c r="AH43" s="12">
        <f>' B2级比赛 '!AH43*5</f>
        <v>8.06060606060606</v>
      </c>
      <c r="AI43" s="12">
        <f>' B2级比赛 '!AI43*5</f>
        <v>7.82352941176471</v>
      </c>
      <c r="AJ43" s="12">
        <f>' B2级比赛 '!AJ43*5</f>
        <v>7.6</v>
      </c>
      <c r="AK43" s="12">
        <f>' B2级比赛 '!AK43*5</f>
        <v>7.38888888888889</v>
      </c>
      <c r="AL43" s="12">
        <f>' B2级比赛 '!AL43*5</f>
        <v>7.18918918918919</v>
      </c>
      <c r="AM43" s="12">
        <f>' B2级比赛 '!AM43*5</f>
        <v>7</v>
      </c>
      <c r="AN43" s="12">
        <f>' B2级比赛 '!AN43*5</f>
        <v>6.82051282051282</v>
      </c>
      <c r="AO43" s="12">
        <f>' B2级比赛 '!AO43*5</f>
        <v>6.65</v>
      </c>
      <c r="AP43" s="12">
        <f>' B2级比赛 '!AP43*5</f>
        <v>6.48780487804878</v>
      </c>
      <c r="AQ43" s="12">
        <f>' B2级比赛 '!AQ43*5</f>
        <v>6.33333333333333</v>
      </c>
      <c r="AR43" s="12">
        <f>' B2级比赛 '!AR43*5</f>
        <v>6.18604651162791</v>
      </c>
      <c r="AS43" s="12">
        <f>' B2级比赛 '!AS43*5</f>
        <v>6.04545454545455</v>
      </c>
      <c r="AT43" s="12">
        <f>' B2级比赛 '!AT43*5</f>
        <v>5.91111111111111</v>
      </c>
      <c r="AU43" s="12">
        <f>' B2级比赛 '!AU43*5</f>
        <v>5.78260869565217</v>
      </c>
      <c r="AV43" s="12">
        <f>' B2级比赛 '!AV43*5</f>
        <v>5.65957446808511</v>
      </c>
      <c r="AW43" s="12">
        <f>' B2级比赛 '!AW43*5</f>
        <v>5.54166666666665</v>
      </c>
      <c r="AX43" s="12">
        <f>' B2级比赛 '!AX43*5</f>
        <v>5.42857142857145</v>
      </c>
      <c r="AY43" s="21">
        <f>' B2级比赛 '!AY43*5</f>
        <v>1315.60195332896</v>
      </c>
      <c r="AZ43" s="20">
        <f>' B2级比赛 '!AZ43*5</f>
        <v>8.02196313005464</v>
      </c>
      <c r="BA43" s="18"/>
      <c r="BB43" s="18"/>
      <c r="BC43" s="18"/>
      <c r="BD43" s="18"/>
      <c r="BE43" s="18"/>
      <c r="BF43" s="18">
        <f>' B2级比赛 '!BF43*5</f>
        <v>0</v>
      </c>
      <c r="BG43" s="18">
        <f>' B2级比赛 '!BG43*5</f>
        <v>0</v>
      </c>
      <c r="BH43" s="18"/>
      <c r="BI43" s="18"/>
      <c r="BJ43" s="18"/>
      <c r="BK43" s="18"/>
      <c r="BL43" s="18"/>
      <c r="BM43" s="18"/>
      <c r="BN43" s="23"/>
      <c r="BO43" s="23"/>
      <c r="BP43" s="23"/>
      <c r="BQ43" s="23"/>
      <c r="BR43" s="23"/>
      <c r="BS43" s="23"/>
      <c r="BT43" s="23"/>
      <c r="BU43" s="2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>
      <c r="A44" s="11" t="s">
        <v>106</v>
      </c>
      <c r="B44" s="12">
        <f>' B2级比赛 '!B44*5</f>
        <v>272.5</v>
      </c>
      <c r="C44" s="12">
        <f>' B2级比赛 '!C44*5</f>
        <v>190.75</v>
      </c>
      <c r="D44" s="15">
        <f>' B2级比赛 '!D44*5</f>
        <v>136.25</v>
      </c>
      <c r="E44" s="15">
        <f>' B2级比赛 '!E44*5</f>
        <v>95.375</v>
      </c>
      <c r="F44" s="15">
        <f>' B2级比赛 '!F44*5</f>
        <v>54.5</v>
      </c>
      <c r="G44" s="15">
        <f>' B2级比赛 '!G44*5</f>
        <v>45.4166666666667</v>
      </c>
      <c r="H44" s="15">
        <f>' B2级比赛 '!H44*5</f>
        <v>38.9285714285714</v>
      </c>
      <c r="I44" s="15">
        <f>' B2级比赛 '!I44*5</f>
        <v>34.0625</v>
      </c>
      <c r="J44" s="15">
        <f>' B2级比赛 '!J44*5</f>
        <v>30.2777777777778</v>
      </c>
      <c r="K44" s="15">
        <f>' B2级比赛 '!K44*5</f>
        <v>27.25</v>
      </c>
      <c r="L44" s="15">
        <f>' B2级比赛 '!L44*5</f>
        <v>24.7727272727273</v>
      </c>
      <c r="M44" s="15">
        <f>' B2级比赛 '!M44*5</f>
        <v>22.7083333333333</v>
      </c>
      <c r="N44" s="15">
        <f>' B2级比赛 '!N44*5</f>
        <v>20.9615384615385</v>
      </c>
      <c r="O44" s="15">
        <f>' B2级比赛 '!O44*5</f>
        <v>19.4642857142857</v>
      </c>
      <c r="P44" s="12">
        <f>' B2级比赛 '!P44*5</f>
        <v>18.1666666666667</v>
      </c>
      <c r="Q44" s="12">
        <f>' B2级比赛 '!Q44*5</f>
        <v>17.03125</v>
      </c>
      <c r="R44" s="12">
        <f>' B2级比赛 '!R44*5</f>
        <v>16.0294117647059</v>
      </c>
      <c r="S44" s="12">
        <f>' B2级比赛 '!S44*5</f>
        <v>15.1388888888889</v>
      </c>
      <c r="T44" s="12">
        <f>' B2级比赛 '!T44*5</f>
        <v>14.3421052631579</v>
      </c>
      <c r="U44" s="12">
        <f>' B2级比赛 '!U44*5</f>
        <v>13.625</v>
      </c>
      <c r="V44" s="12">
        <f>' B2级比赛 '!V44*5</f>
        <v>12.9761904761905</v>
      </c>
      <c r="W44" s="12">
        <f>' B2级比赛 '!W44*5</f>
        <v>12.3863636363636</v>
      </c>
      <c r="X44" s="12">
        <f>' B2级比赛 '!X44*5</f>
        <v>11.8478260869565</v>
      </c>
      <c r="Y44" s="12">
        <f>' B2级比赛 '!Y44*5</f>
        <v>11.3541666666667</v>
      </c>
      <c r="Z44" s="12">
        <f>' B2级比赛 '!Z44*5</f>
        <v>10.9</v>
      </c>
      <c r="AA44" s="12">
        <f>' B2级比赛 '!AA44*5</f>
        <v>10.4807692307692</v>
      </c>
      <c r="AB44" s="12">
        <f>' B2级比赛 '!AB44*5</f>
        <v>10.0925925925926</v>
      </c>
      <c r="AC44" s="12">
        <f>' B2级比赛 '!AC44*5</f>
        <v>9.73214285714286</v>
      </c>
      <c r="AD44" s="12">
        <f>' B2级比赛 '!AD44*5</f>
        <v>9.39655172413793</v>
      </c>
      <c r="AE44" s="12">
        <f>' B2级比赛 '!AE44*5</f>
        <v>9.08333333333333</v>
      </c>
      <c r="AF44" s="12">
        <f>' B2级比赛 '!AF44*5</f>
        <v>8.79032258064516</v>
      </c>
      <c r="AG44" s="12">
        <f>' B2级比赛 '!AG44*5</f>
        <v>8.515625</v>
      </c>
      <c r="AH44" s="12">
        <f>' B2级比赛 '!AH44*5</f>
        <v>8.25757575757576</v>
      </c>
      <c r="AI44" s="12">
        <f>' B2级比赛 '!AI44*5</f>
        <v>8.01470588235294</v>
      </c>
      <c r="AJ44" s="12">
        <f>' B2级比赛 '!AJ44*5</f>
        <v>7.78571428571429</v>
      </c>
      <c r="AK44" s="12">
        <f>' B2级比赛 '!AK44*5</f>
        <v>7.56944444444444</v>
      </c>
      <c r="AL44" s="12">
        <f>' B2级比赛 '!AL44*5</f>
        <v>7.36486486486486</v>
      </c>
      <c r="AM44" s="12">
        <f>' B2级比赛 '!AM44*5</f>
        <v>7.17105263157895</v>
      </c>
      <c r="AN44" s="12">
        <f>' B2级比赛 '!AN44*5</f>
        <v>6.98717948717949</v>
      </c>
      <c r="AO44" s="12">
        <f>' B2级比赛 '!AO44*5</f>
        <v>6.8125</v>
      </c>
      <c r="AP44" s="12">
        <f>' B2级比赛 '!AP44*5</f>
        <v>6.64634146341463</v>
      </c>
      <c r="AQ44" s="12">
        <f>' B2级比赛 '!AQ44*5</f>
        <v>6.48809523809524</v>
      </c>
      <c r="AR44" s="12">
        <f>' B2级比赛 '!AR44*5</f>
        <v>6.33720930232558</v>
      </c>
      <c r="AS44" s="12">
        <f>' B2级比赛 '!AS44*5</f>
        <v>6.19318181818182</v>
      </c>
      <c r="AT44" s="12">
        <f>' B2级比赛 '!AT44*5</f>
        <v>6.05555555555556</v>
      </c>
      <c r="AU44" s="12">
        <f>' B2级比赛 '!AU44*5</f>
        <v>5.92391304347826</v>
      </c>
      <c r="AV44" s="12">
        <f>' B2级比赛 '!AV44*5</f>
        <v>5.79787234042553</v>
      </c>
      <c r="AW44" s="12">
        <f>' B2级比赛 '!AW44*5</f>
        <v>5.67708333333333</v>
      </c>
      <c r="AX44" s="12">
        <f>' B2级比赛 '!AX44*5</f>
        <v>5.56122448979592</v>
      </c>
      <c r="AY44" s="12">
        <f>' B2级比赛 '!AY44*5</f>
        <v>5.45</v>
      </c>
      <c r="AZ44" s="21">
        <f>' B2级比赛 '!AZ44*5</f>
        <v>1353.20012136143</v>
      </c>
      <c r="BA44" s="20">
        <f>' B2级比赛 '!BA44*5</f>
        <v>8.00710130983097</v>
      </c>
      <c r="BB44" s="18"/>
      <c r="BC44" s="18"/>
      <c r="BD44" s="18"/>
      <c r="BE44" s="18"/>
      <c r="BF44" s="18">
        <f>' B2级比赛 '!BF44*5</f>
        <v>0</v>
      </c>
      <c r="BG44" s="18">
        <f>' B2级比赛 '!BG44*5</f>
        <v>0</v>
      </c>
      <c r="BH44" s="18"/>
      <c r="BI44" s="18"/>
      <c r="BJ44" s="18"/>
      <c r="BK44" s="18"/>
      <c r="BL44" s="18"/>
      <c r="BM44" s="18"/>
      <c r="BN44" s="23"/>
      <c r="BO44" s="23"/>
      <c r="BP44" s="23"/>
      <c r="BQ44" s="23"/>
      <c r="BR44" s="23"/>
      <c r="BS44" s="23"/>
      <c r="BT44" s="23"/>
      <c r="BU44" s="2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>
      <c r="A45" s="11" t="s">
        <v>107</v>
      </c>
      <c r="B45" s="12">
        <f>' B2级比赛 '!B45*5</f>
        <v>370</v>
      </c>
      <c r="C45" s="12">
        <f>' B2级比赛 '!C45*5</f>
        <v>259</v>
      </c>
      <c r="D45" s="15">
        <f>' B2级比赛 '!D45*5</f>
        <v>185</v>
      </c>
      <c r="E45" s="15">
        <f>' B2级比赛 '!E45*5</f>
        <v>129.5</v>
      </c>
      <c r="F45" s="15">
        <f>' B2级比赛 '!F45*5</f>
        <v>74</v>
      </c>
      <c r="G45" s="15">
        <f>' B2级比赛 '!G45*5</f>
        <v>61.6666666666667</v>
      </c>
      <c r="H45" s="15">
        <f>' B2级比赛 '!H45*5</f>
        <v>52.8571428571429</v>
      </c>
      <c r="I45" s="15">
        <f>' B2级比赛 '!I45*5</f>
        <v>46.25</v>
      </c>
      <c r="J45" s="15">
        <f>' B2级比赛 '!J45*5</f>
        <v>41.1111111111111</v>
      </c>
      <c r="K45" s="15">
        <f>' B2级比赛 '!K45*5</f>
        <v>37</v>
      </c>
      <c r="L45" s="15">
        <f>' B2级比赛 '!L45*5</f>
        <v>33.6363636363636</v>
      </c>
      <c r="M45" s="15">
        <f>' B2级比赛 '!M45*5</f>
        <v>30.8333333333333</v>
      </c>
      <c r="N45" s="15">
        <f>' B2级比赛 '!N45*5</f>
        <v>28.4615384615385</v>
      </c>
      <c r="O45" s="15">
        <f>' B2级比赛 '!O45*5</f>
        <v>26.4285714285714</v>
      </c>
      <c r="P45" s="12">
        <f>' B2级比赛 '!P45*5</f>
        <v>24.6666666666667</v>
      </c>
      <c r="Q45" s="12">
        <f>' B2级比赛 '!Q45*5</f>
        <v>23.125</v>
      </c>
      <c r="R45" s="12">
        <f>' B2级比赛 '!R45*5</f>
        <v>21.7647058823529</v>
      </c>
      <c r="S45" s="12">
        <f>' B2级比赛 '!S45*5</f>
        <v>20.5555555555556</v>
      </c>
      <c r="T45" s="12">
        <f>' B2级比赛 '!T45*5</f>
        <v>19.4736842105263</v>
      </c>
      <c r="U45" s="12">
        <f>' B2级比赛 '!U45*5</f>
        <v>18.5</v>
      </c>
      <c r="V45" s="12">
        <f>' B2级比赛 '!V45*5</f>
        <v>17.6190476190476</v>
      </c>
      <c r="W45" s="12">
        <f>' B2级比赛 '!W45*5</f>
        <v>16.8181818181818</v>
      </c>
      <c r="X45" s="12">
        <f>' B2级比赛 '!X45*5</f>
        <v>16.0869565217391</v>
      </c>
      <c r="Y45" s="12">
        <f>' B2级比赛 '!Y45*5</f>
        <v>15.4166666666667</v>
      </c>
      <c r="Z45" s="12">
        <f>' B2级比赛 '!Z45*5</f>
        <v>14.8</v>
      </c>
      <c r="AA45" s="12">
        <f>' B2级比赛 '!AA45*5</f>
        <v>14.2307692307692</v>
      </c>
      <c r="AB45" s="12">
        <f>' B2级比赛 '!AB45*5</f>
        <v>13.7037037037037</v>
      </c>
      <c r="AC45" s="12">
        <f>' B2级比赛 '!AC45*5</f>
        <v>13.2142857142857</v>
      </c>
      <c r="AD45" s="12">
        <f>' B2级比赛 '!AD45*5</f>
        <v>12.7586206896552</v>
      </c>
      <c r="AE45" s="12">
        <f>' B2级比赛 '!AE45*5</f>
        <v>12.3333333333333</v>
      </c>
      <c r="AF45" s="12">
        <f>' B2级比赛 '!AF45*5</f>
        <v>11.9354838709677</v>
      </c>
      <c r="AG45" s="12">
        <f>' B2级比赛 '!AG45*5</f>
        <v>11.5625</v>
      </c>
      <c r="AH45" s="12">
        <f>' B2级比赛 '!AH45*5</f>
        <v>11.2121212121212</v>
      </c>
      <c r="AI45" s="12">
        <f>' B2级比赛 '!AI45*5</f>
        <v>10.8823529411765</v>
      </c>
      <c r="AJ45" s="12">
        <f>' B2级比赛 '!AJ45*5</f>
        <v>10.5714285714286</v>
      </c>
      <c r="AK45" s="12">
        <f>' B2级比赛 '!AK45*5</f>
        <v>10.2777777777778</v>
      </c>
      <c r="AL45" s="12">
        <f>' B2级比赛 '!AL45*5</f>
        <v>10</v>
      </c>
      <c r="AM45" s="12">
        <f>' B2级比赛 '!AM45*5</f>
        <v>9.73684210526316</v>
      </c>
      <c r="AN45" s="12">
        <f>' B2级比赛 '!AN45*5</f>
        <v>9.48717948717949</v>
      </c>
      <c r="AO45" s="12">
        <f>' B2级比赛 '!AO45*5</f>
        <v>9.25</v>
      </c>
      <c r="AP45" s="12">
        <f>' B2级比赛 '!AP45*5</f>
        <v>9.02439024390244</v>
      </c>
      <c r="AQ45" s="12">
        <f>' B2级比赛 '!AQ45*5</f>
        <v>8.80952380952381</v>
      </c>
      <c r="AR45" s="12">
        <f>' B2级比赛 '!AR45*5</f>
        <v>8.6046511627907</v>
      </c>
      <c r="AS45" s="12">
        <f>' B2级比赛 '!AS45*5</f>
        <v>8.40909090909091</v>
      </c>
      <c r="AT45" s="12">
        <f>' B2级比赛 '!AT45*5</f>
        <v>8.22222222222222</v>
      </c>
      <c r="AU45" s="12">
        <f>' B2级比赛 '!AU45*5</f>
        <v>8.04347826086957</v>
      </c>
      <c r="AV45" s="12">
        <f>' B2级比赛 '!AV45*5</f>
        <v>7.87234042553191</v>
      </c>
      <c r="AW45" s="12">
        <f>' B2级比赛 '!AW45*5</f>
        <v>7.70833333333333</v>
      </c>
      <c r="AX45" s="12">
        <f>' B2级比赛 '!AX45*5</f>
        <v>7.55102040816326</v>
      </c>
      <c r="AY45" s="12">
        <f>' B2级比赛 '!AY45*5</f>
        <v>7.4</v>
      </c>
      <c r="AZ45" s="18">
        <f>' B2级比赛 '!AZ45*5</f>
        <v>7.2549019607843</v>
      </c>
      <c r="BA45" s="21">
        <f>' B2级比赛 '!BA45*5</f>
        <v>2018.74519086816</v>
      </c>
      <c r="BB45" s="20">
        <f>' B2级比赛 '!BB45*5</f>
        <v>8.04280952537117</v>
      </c>
      <c r="BC45" s="18"/>
      <c r="BD45" s="18"/>
      <c r="BE45" s="18"/>
      <c r="BF45" s="18">
        <f>' B2级比赛 '!BF45*5</f>
        <v>0</v>
      </c>
      <c r="BG45" s="18">
        <f>' B2级比赛 '!BG45*5</f>
        <v>0</v>
      </c>
      <c r="BH45" s="18"/>
      <c r="BI45" s="18"/>
      <c r="BJ45" s="18"/>
      <c r="BK45" s="18"/>
      <c r="BL45" s="18"/>
      <c r="BM45" s="18"/>
      <c r="BN45" s="23"/>
      <c r="BO45" s="23"/>
      <c r="BP45" s="23"/>
      <c r="BQ45" s="23"/>
      <c r="BR45" s="23"/>
      <c r="BS45" s="23"/>
      <c r="BT45" s="23"/>
      <c r="BU45" s="2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>
      <c r="A46" s="11" t="s">
        <v>108</v>
      </c>
      <c r="B46" s="12">
        <f>' B2级比赛 '!B46*5</f>
        <v>465</v>
      </c>
      <c r="C46" s="12">
        <f>' B2级比赛 '!C46*5</f>
        <v>325.5</v>
      </c>
      <c r="D46" s="15">
        <f>' B2级比赛 '!D46*5</f>
        <v>232.5</v>
      </c>
      <c r="E46" s="15">
        <f>' B2级比赛 '!E46*5</f>
        <v>162.75</v>
      </c>
      <c r="F46" s="15">
        <f>' B2级比赛 '!F46*5</f>
        <v>93</v>
      </c>
      <c r="G46" s="15">
        <f>' B2级比赛 '!G46*5</f>
        <v>77.5</v>
      </c>
      <c r="H46" s="15">
        <f>' B2级比赛 '!H46*5</f>
        <v>66.4285714285714</v>
      </c>
      <c r="I46" s="15">
        <f>' B2级比赛 '!I46*5</f>
        <v>58.125</v>
      </c>
      <c r="J46" s="15">
        <f>' B2级比赛 '!J46*5</f>
        <v>51.6666666666667</v>
      </c>
      <c r="K46" s="15">
        <f>' B2级比赛 '!K46*5</f>
        <v>46.5</v>
      </c>
      <c r="L46" s="15">
        <f>' B2级比赛 '!L46*5</f>
        <v>42.2727272727273</v>
      </c>
      <c r="M46" s="15">
        <f>' B2级比赛 '!M46*5</f>
        <v>38.75</v>
      </c>
      <c r="N46" s="15">
        <f>' B2级比赛 '!N46*5</f>
        <v>35.7692307692308</v>
      </c>
      <c r="O46" s="15">
        <f>' B2级比赛 '!O46*5</f>
        <v>33.2142857142857</v>
      </c>
      <c r="P46" s="12">
        <f>' B2级比赛 '!P46*5</f>
        <v>31</v>
      </c>
      <c r="Q46" s="12">
        <f>' B2级比赛 '!Q46*5</f>
        <v>29.0625</v>
      </c>
      <c r="R46" s="12">
        <f>' B2级比赛 '!R46*5</f>
        <v>27.3529411764706</v>
      </c>
      <c r="S46" s="12">
        <f>' B2级比赛 '!S46*5</f>
        <v>25.8333333333333</v>
      </c>
      <c r="T46" s="12">
        <f>' B2级比赛 '!T46*5</f>
        <v>24.4736842105263</v>
      </c>
      <c r="U46" s="12">
        <f>' B2级比赛 '!U46*5</f>
        <v>23.25</v>
      </c>
      <c r="V46" s="12">
        <f>' B2级比赛 '!V46*5</f>
        <v>22.1428571428571</v>
      </c>
      <c r="W46" s="12">
        <f>' B2级比赛 '!W46*5</f>
        <v>21.1363636363636</v>
      </c>
      <c r="X46" s="12">
        <f>' B2级比赛 '!X46*5</f>
        <v>20.2173913043478</v>
      </c>
      <c r="Y46" s="12">
        <f>' B2级比赛 '!Y46*5</f>
        <v>19.375</v>
      </c>
      <c r="Z46" s="12">
        <f>' B2级比赛 '!Z46*5</f>
        <v>18.6</v>
      </c>
      <c r="AA46" s="12">
        <f>' B2级比赛 '!AA46*5</f>
        <v>17.8846153846154</v>
      </c>
      <c r="AB46" s="12">
        <f>' B2级比赛 '!AB46*5</f>
        <v>17.2222222222222</v>
      </c>
      <c r="AC46" s="12">
        <f>' B2级比赛 '!AC46*5</f>
        <v>16.6071428571429</v>
      </c>
      <c r="AD46" s="12">
        <f>' B2级比赛 '!AD46*5</f>
        <v>16.0344827586207</v>
      </c>
      <c r="AE46" s="12">
        <f>' B2级比赛 '!AE46*5</f>
        <v>15.5</v>
      </c>
      <c r="AF46" s="12">
        <f>' B2级比赛 '!AF46*5</f>
        <v>15</v>
      </c>
      <c r="AG46" s="12">
        <f>' B2级比赛 '!AG46*5</f>
        <v>14.53125</v>
      </c>
      <c r="AH46" s="12">
        <f>' B2级比赛 '!AH46*5</f>
        <v>14.0909090909091</v>
      </c>
      <c r="AI46" s="12">
        <f>' B2级比赛 '!AI46*5</f>
        <v>13.6764705882353</v>
      </c>
      <c r="AJ46" s="12">
        <f>' B2级比赛 '!AJ46*5</f>
        <v>13.2857142857143</v>
      </c>
      <c r="AK46" s="12">
        <f>' B2级比赛 '!AK46*5</f>
        <v>12.9166666666667</v>
      </c>
      <c r="AL46" s="12">
        <f>' B2级比赛 '!AL46*5</f>
        <v>12.5675675675676</v>
      </c>
      <c r="AM46" s="12">
        <f>' B2级比赛 '!AM46*5</f>
        <v>12.2368421052632</v>
      </c>
      <c r="AN46" s="12">
        <f>' B2级比赛 '!AN46*5</f>
        <v>11.9230769230769</v>
      </c>
      <c r="AO46" s="12">
        <f>' B2级比赛 '!AO46*5</f>
        <v>11.625</v>
      </c>
      <c r="AP46" s="12">
        <f>' B2级比赛 '!AP46*5</f>
        <v>11.3414634146341</v>
      </c>
      <c r="AQ46" s="12">
        <f>' B2级比赛 '!AQ46*5</f>
        <v>11.0714285714286</v>
      </c>
      <c r="AR46" s="12">
        <f>' B2级比赛 '!AR46*5</f>
        <v>10.8139534883721</v>
      </c>
      <c r="AS46" s="12">
        <f>' B2级比赛 '!AS46*5</f>
        <v>10.5681818181818</v>
      </c>
      <c r="AT46" s="12">
        <f>' B2级比赛 '!AT46*5</f>
        <v>10.3333333333333</v>
      </c>
      <c r="AU46" s="12">
        <f>' B2级比赛 '!AU46*5</f>
        <v>10.1086956521739</v>
      </c>
      <c r="AV46" s="12">
        <f>' B2级比赛 '!AV46*5</f>
        <v>9.8936170212766</v>
      </c>
      <c r="AW46" s="12">
        <f>' B2级比赛 '!AW46*5</f>
        <v>9.6875</v>
      </c>
      <c r="AX46" s="12">
        <f>' B2级比赛 '!AX46*5</f>
        <v>9.48979591836735</v>
      </c>
      <c r="AY46" s="12">
        <f>' B2级比赛 '!AY46*5</f>
        <v>9.3</v>
      </c>
      <c r="AZ46" s="18">
        <f>' B2级比赛 '!AZ46*5</f>
        <v>9.11764705882353</v>
      </c>
      <c r="BA46" s="18">
        <f>' B2级比赛 '!BA46*5</f>
        <v>6.1184210526316</v>
      </c>
      <c r="BB46" s="21">
        <f>' B2级比赛 '!BB46*5</f>
        <v>2690.03218510956</v>
      </c>
      <c r="BC46" s="20">
        <f>' B2级比赛 '!BC46*5</f>
        <v>8.02994682122257</v>
      </c>
      <c r="BD46" s="18"/>
      <c r="BE46" s="18"/>
      <c r="BF46" s="18">
        <f>' B2级比赛 '!BF46*5</f>
        <v>0</v>
      </c>
      <c r="BG46" s="18">
        <f>' B2级比赛 '!BG46*5</f>
        <v>0</v>
      </c>
      <c r="BH46" s="18"/>
      <c r="BI46" s="18"/>
      <c r="BJ46" s="18"/>
      <c r="BK46" s="18"/>
      <c r="BL46" s="18"/>
      <c r="BM46" s="18"/>
      <c r="BN46" s="23"/>
      <c r="BO46" s="23"/>
      <c r="BP46" s="23"/>
      <c r="BQ46" s="23"/>
      <c r="BR46" s="23"/>
      <c r="BS46" s="23"/>
      <c r="BT46" s="23"/>
      <c r="BU46" s="2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>
      <c r="A47" s="11" t="s">
        <v>109</v>
      </c>
      <c r="B47" s="12">
        <f>' B2级比赛 '!B47*5</f>
        <v>640</v>
      </c>
      <c r="C47" s="12">
        <f>' B2级比赛 '!C47*5</f>
        <v>448</v>
      </c>
      <c r="D47" s="15">
        <f>' B2级比赛 '!D47*5</f>
        <v>320</v>
      </c>
      <c r="E47" s="15">
        <f>' B2级比赛 '!E47*5</f>
        <v>224</v>
      </c>
      <c r="F47" s="15">
        <f>' B2级比赛 '!F47*5</f>
        <v>128</v>
      </c>
      <c r="G47" s="15">
        <f>' B2级比赛 '!G47*5</f>
        <v>106.666666666667</v>
      </c>
      <c r="H47" s="15">
        <f>' B2级比赛 '!H47*5</f>
        <v>91.4285714285714</v>
      </c>
      <c r="I47" s="15">
        <f>' B2级比赛 '!I47*5</f>
        <v>80</v>
      </c>
      <c r="J47" s="15">
        <f>' B2级比赛 '!J47*5</f>
        <v>71.1111111111111</v>
      </c>
      <c r="K47" s="15">
        <f>' B2级比赛 '!K47*5</f>
        <v>64</v>
      </c>
      <c r="L47" s="15">
        <f>' B2级比赛 '!L47*5</f>
        <v>58.1818181818182</v>
      </c>
      <c r="M47" s="15">
        <f>' B2级比赛 '!M47*5</f>
        <v>53.3333333333333</v>
      </c>
      <c r="N47" s="15">
        <f>' B2级比赛 '!N47*5</f>
        <v>49.2307692307692</v>
      </c>
      <c r="O47" s="15">
        <f>' B2级比赛 '!O47*5</f>
        <v>45.7142857142857</v>
      </c>
      <c r="P47" s="12">
        <f>' B2级比赛 '!P47*5</f>
        <v>42.6666666666667</v>
      </c>
      <c r="Q47" s="12">
        <f>' B2级比赛 '!Q47*5</f>
        <v>40</v>
      </c>
      <c r="R47" s="12">
        <f>' B2级比赛 '!R47*5</f>
        <v>37.6470588235294</v>
      </c>
      <c r="S47" s="12">
        <f>' B2级比赛 '!S47*5</f>
        <v>35.5555555555556</v>
      </c>
      <c r="T47" s="12">
        <f>' B2级比赛 '!T47*5</f>
        <v>33.6842105263158</v>
      </c>
      <c r="U47" s="12">
        <f>' B2级比赛 '!U47*5</f>
        <v>32</v>
      </c>
      <c r="V47" s="12">
        <f>' B2级比赛 '!V47*5</f>
        <v>30.4761904761905</v>
      </c>
      <c r="W47" s="12">
        <f>' B2级比赛 '!W47*5</f>
        <v>29.0909090909091</v>
      </c>
      <c r="X47" s="12">
        <f>' B2级比赛 '!X47*5</f>
        <v>27.8260869565217</v>
      </c>
      <c r="Y47" s="12">
        <f>' B2级比赛 '!Y47*5</f>
        <v>26.6666666666667</v>
      </c>
      <c r="Z47" s="12">
        <f>' B2级比赛 '!Z47*5</f>
        <v>25.6</v>
      </c>
      <c r="AA47" s="12">
        <f>' B2级比赛 '!AA47*5</f>
        <v>24.6153846153846</v>
      </c>
      <c r="AB47" s="12">
        <f>' B2级比赛 '!AB47*5</f>
        <v>23.7037037037037</v>
      </c>
      <c r="AC47" s="12">
        <f>' B2级比赛 '!AC47*5</f>
        <v>22.8571428571429</v>
      </c>
      <c r="AD47" s="12">
        <f>' B2级比赛 '!AD47*5</f>
        <v>22.0689655172414</v>
      </c>
      <c r="AE47" s="12">
        <f>' B2级比赛 '!AE47*5</f>
        <v>21.3333333333333</v>
      </c>
      <c r="AF47" s="12">
        <f>' B2级比赛 '!AF47*5</f>
        <v>20.6451612903226</v>
      </c>
      <c r="AG47" s="12">
        <f>' B2级比赛 '!AG47*5</f>
        <v>20</v>
      </c>
      <c r="AH47" s="12">
        <f>' B2级比赛 '!AH47*5</f>
        <v>19.3939393939394</v>
      </c>
      <c r="AI47" s="12">
        <f>' B2级比赛 '!AI47*5</f>
        <v>18.8235294117647</v>
      </c>
      <c r="AJ47" s="12">
        <f>' B2级比赛 '!AJ47*5</f>
        <v>18.2857142857143</v>
      </c>
      <c r="AK47" s="12">
        <f>' B2级比赛 '!AK47*5</f>
        <v>17.7777777777778</v>
      </c>
      <c r="AL47" s="12">
        <f>' B2级比赛 '!AL47*5</f>
        <v>17.2972972972973</v>
      </c>
      <c r="AM47" s="12">
        <f>' B2级比赛 '!AM47*5</f>
        <v>16.8421052631579</v>
      </c>
      <c r="AN47" s="12">
        <f>' B2级比赛 '!AN47*5</f>
        <v>16.4102564102564</v>
      </c>
      <c r="AO47" s="12">
        <f>' B2级比赛 '!AO47*5</f>
        <v>16</v>
      </c>
      <c r="AP47" s="12">
        <f>' B2级比赛 '!AP47*5</f>
        <v>15.609756097561</v>
      </c>
      <c r="AQ47" s="12">
        <f>' B2级比赛 '!AQ47*5</f>
        <v>15.2380952380952</v>
      </c>
      <c r="AR47" s="12">
        <f>' B2级比赛 '!AR47*5</f>
        <v>14.8837209302326</v>
      </c>
      <c r="AS47" s="12">
        <f>' B2级比赛 '!AS47*5</f>
        <v>14.5454545454545</v>
      </c>
      <c r="AT47" s="12">
        <f>' B2级比赛 '!AT47*5</f>
        <v>14.2222222222222</v>
      </c>
      <c r="AU47" s="12">
        <f>' B2级比赛 '!AU47*5</f>
        <v>13.9130434782609</v>
      </c>
      <c r="AV47" s="12">
        <f>' B2级比赛 '!AV47*5</f>
        <v>13.6170212765957</v>
      </c>
      <c r="AW47" s="12">
        <f>' B2级比赛 '!AW47*5</f>
        <v>13.3333333333333</v>
      </c>
      <c r="AX47" s="12">
        <f>' B2级比赛 '!AX47*5</f>
        <v>13.0612244897959</v>
      </c>
      <c r="AY47" s="12">
        <f>' B2级比赛 '!AY47*5</f>
        <v>12.8</v>
      </c>
      <c r="AZ47" s="18">
        <f>' B2级比赛 '!AZ47*5</f>
        <v>12.5490196078431</v>
      </c>
      <c r="BA47" s="18">
        <f>' B2级比赛 '!BA47*5</f>
        <v>8.42105263157895</v>
      </c>
      <c r="BB47" s="18">
        <f>' B2级比赛 '!BB47*5</f>
        <v>6.33663366336635</v>
      </c>
      <c r="BC47" s="21">
        <f>' B2级比赛 '!BC47*5</f>
        <v>4019.24157235137</v>
      </c>
      <c r="BD47" s="20">
        <f>' B2级比赛 '!BD47*5</f>
        <v>8.03848314470273</v>
      </c>
      <c r="BE47" s="18"/>
      <c r="BF47" s="18">
        <f>' B2级比赛 '!BF47*5</f>
        <v>0</v>
      </c>
      <c r="BG47" s="18">
        <f>' B2级比赛 '!BG47*5</f>
        <v>0</v>
      </c>
      <c r="BH47" s="18"/>
      <c r="BI47" s="18"/>
      <c r="BJ47" s="18"/>
      <c r="BK47" s="18"/>
      <c r="BL47" s="18"/>
      <c r="BM47" s="18"/>
      <c r="BN47" s="23"/>
      <c r="BO47" s="23"/>
      <c r="BP47" s="23"/>
      <c r="BQ47" s="23"/>
      <c r="BR47" s="23"/>
      <c r="BS47" s="23"/>
      <c r="BT47" s="23"/>
      <c r="BU47" s="2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>
      <c r="A48" s="11" t="s">
        <v>110</v>
      </c>
      <c r="B48" s="12">
        <f>' B2级比赛 '!B48*5</f>
        <v>815</v>
      </c>
      <c r="C48" s="12">
        <f>' B2级比赛 '!C48*5</f>
        <v>570.5</v>
      </c>
      <c r="D48" s="15">
        <f>' B2级比赛 '!D48*5</f>
        <v>407.5</v>
      </c>
      <c r="E48" s="15">
        <f>' B2级比赛 '!E48*5</f>
        <v>285.25</v>
      </c>
      <c r="F48" s="15">
        <f>' B2级比赛 '!F48*5</f>
        <v>163</v>
      </c>
      <c r="G48" s="15">
        <f>' B2级比赛 '!G48*5</f>
        <v>135.833333333333</v>
      </c>
      <c r="H48" s="15">
        <f>' B2级比赛 '!H48*5</f>
        <v>116.428571428571</v>
      </c>
      <c r="I48" s="15">
        <f>' B2级比赛 '!I48*5</f>
        <v>101.875</v>
      </c>
      <c r="J48" s="15">
        <f>' B2级比赛 '!J48*5</f>
        <v>90.5555555555556</v>
      </c>
      <c r="K48" s="15">
        <f>' B2级比赛 '!K48*5</f>
        <v>81.5</v>
      </c>
      <c r="L48" s="15">
        <f>' B2级比赛 '!L48*5</f>
        <v>74.0909090909091</v>
      </c>
      <c r="M48" s="15">
        <f>' B2级比赛 '!M48*5</f>
        <v>67.9166666666667</v>
      </c>
      <c r="N48" s="15">
        <f>' B2级比赛 '!N48*5</f>
        <v>62.6923076923077</v>
      </c>
      <c r="O48" s="15">
        <f>' B2级比赛 '!O48*5</f>
        <v>58.2142857142857</v>
      </c>
      <c r="P48" s="12">
        <f>' B2级比赛 '!P48*5</f>
        <v>54.3333333333333</v>
      </c>
      <c r="Q48" s="12">
        <f>' B2级比赛 '!Q48*5</f>
        <v>50.9375</v>
      </c>
      <c r="R48" s="12">
        <f>' B2级比赛 '!R48*5</f>
        <v>47.9411764705882</v>
      </c>
      <c r="S48" s="12">
        <f>' B2级比赛 '!S48*5</f>
        <v>45.2777777777778</v>
      </c>
      <c r="T48" s="12">
        <f>' B2级比赛 '!T48*5</f>
        <v>42.8947368421053</v>
      </c>
      <c r="U48" s="12">
        <f>' B2级比赛 '!U48*5</f>
        <v>40.75</v>
      </c>
      <c r="V48" s="12">
        <f>' B2级比赛 '!V48*5</f>
        <v>38.8095238095238</v>
      </c>
      <c r="W48" s="12">
        <f>' B2级比赛 '!W48*5</f>
        <v>37.0454545454545</v>
      </c>
      <c r="X48" s="12">
        <f>' B2级比赛 '!X48*5</f>
        <v>35.4347826086957</v>
      </c>
      <c r="Y48" s="12">
        <f>' B2级比赛 '!Y48*5</f>
        <v>33.9583333333333</v>
      </c>
      <c r="Z48" s="12">
        <f>' B2级比赛 '!Z48*5</f>
        <v>32.6</v>
      </c>
      <c r="AA48" s="12">
        <f>' B2级比赛 '!AA48*5</f>
        <v>31.3461538461538</v>
      </c>
      <c r="AB48" s="12">
        <f>' B2级比赛 '!AB48*5</f>
        <v>30.1851851851852</v>
      </c>
      <c r="AC48" s="12">
        <f>' B2级比赛 '!AC48*5</f>
        <v>29.1071428571429</v>
      </c>
      <c r="AD48" s="12">
        <f>' B2级比赛 '!AD48*5</f>
        <v>28.1034482758621</v>
      </c>
      <c r="AE48" s="12">
        <f>' B2级比赛 '!AE48*5</f>
        <v>27.1666666666667</v>
      </c>
      <c r="AF48" s="12">
        <f>' B2级比赛 '!AF48*5</f>
        <v>26.2903225806452</v>
      </c>
      <c r="AG48" s="12">
        <f>' B2级比赛 '!AG48*5</f>
        <v>25.46875</v>
      </c>
      <c r="AH48" s="12">
        <f>' B2级比赛 '!AH48*5</f>
        <v>24.6969696969697</v>
      </c>
      <c r="AI48" s="12">
        <f>' B2级比赛 '!AI48*5</f>
        <v>23.9705882352941</v>
      </c>
      <c r="AJ48" s="12">
        <f>' B2级比赛 '!AJ48*5</f>
        <v>23.2857142857143</v>
      </c>
      <c r="AK48" s="12">
        <f>' B2级比赛 '!AK48*5</f>
        <v>22.6388888888889</v>
      </c>
      <c r="AL48" s="12">
        <f>' B2级比赛 '!AL48*5</f>
        <v>22.027027027027</v>
      </c>
      <c r="AM48" s="12">
        <f>' B2级比赛 '!AM48*5</f>
        <v>21.4473684210526</v>
      </c>
      <c r="AN48" s="12">
        <f>' B2级比赛 '!AN48*5</f>
        <v>20.8974358974359</v>
      </c>
      <c r="AO48" s="12">
        <f>' B2级比赛 '!AO48*5</f>
        <v>20.375</v>
      </c>
      <c r="AP48" s="12">
        <f>' B2级比赛 '!AP48*5</f>
        <v>19.8780487804878</v>
      </c>
      <c r="AQ48" s="12">
        <f>' B2级比赛 '!AQ48*5</f>
        <v>19.4047619047619</v>
      </c>
      <c r="AR48" s="12">
        <f>' B2级比赛 '!AR48*5</f>
        <v>18.953488372093</v>
      </c>
      <c r="AS48" s="12">
        <f>' B2级比赛 '!AS48*5</f>
        <v>18.5227272727273</v>
      </c>
      <c r="AT48" s="12">
        <f>' B2级比赛 '!AT48*5</f>
        <v>18.1111111111111</v>
      </c>
      <c r="AU48" s="12">
        <f>' B2级比赛 '!AU48*5</f>
        <v>17.7173913043478</v>
      </c>
      <c r="AV48" s="12">
        <f>' B2级比赛 '!AV48*5</f>
        <v>17.3404255319149</v>
      </c>
      <c r="AW48" s="12">
        <f>' B2级比赛 '!AW48*5</f>
        <v>16.9791666666667</v>
      </c>
      <c r="AX48" s="12">
        <f>' B2级比赛 '!AX48*5</f>
        <v>16.6326530612245</v>
      </c>
      <c r="AY48" s="12">
        <f>' B2级比赛 '!AY48*5</f>
        <v>16.3</v>
      </c>
      <c r="AZ48" s="18">
        <f>' B2级比赛 '!AZ48*5</f>
        <v>15.9803921568627</v>
      </c>
      <c r="BA48" s="18">
        <f>' B2级比赛 '!BA48*5</f>
        <v>10.7236842105263</v>
      </c>
      <c r="BB48" s="18">
        <f>' B2级比赛 '!BB48*5</f>
        <v>8.06930693069307</v>
      </c>
      <c r="BC48" s="18">
        <f>' B2级比赛 '!BC48*5</f>
        <v>5.3973509933775</v>
      </c>
      <c r="BD48" s="21">
        <f>' B2级比赛 '!BD48*5</f>
        <v>5388.12048946007</v>
      </c>
      <c r="BE48" s="20">
        <f>' B2级比赛 '!BE48*5</f>
        <v>8.04197087979115</v>
      </c>
      <c r="BF48" s="18">
        <f>' B2级比赛 '!BF48*5</f>
        <v>0</v>
      </c>
      <c r="BG48" s="18">
        <f>' B2级比赛 '!BG48*5</f>
        <v>0</v>
      </c>
      <c r="BH48" s="18"/>
      <c r="BI48" s="18"/>
      <c r="BJ48" s="18"/>
      <c r="BK48" s="18"/>
      <c r="BL48" s="18"/>
      <c r="BM48" s="18"/>
      <c r="BN48" s="23"/>
      <c r="BO48" s="23"/>
      <c r="BP48" s="23"/>
      <c r="BQ48" s="23"/>
      <c r="BR48" s="23"/>
      <c r="BS48" s="23"/>
      <c r="BT48" s="23"/>
      <c r="BU48" s="2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="2" customFormat="1" spans="1:110">
      <c r="A49" s="16" t="s">
        <v>111</v>
      </c>
      <c r="B49" s="17">
        <f>' B2级比赛 '!B49*5</f>
        <v>1130</v>
      </c>
      <c r="C49" s="17">
        <f>' B2级比赛 '!C49*5</f>
        <v>791</v>
      </c>
      <c r="D49" s="17">
        <f>' B2级比赛 '!D49*5</f>
        <v>565</v>
      </c>
      <c r="E49" s="17">
        <f>' B2级比赛 '!E49*5</f>
        <v>395.5</v>
      </c>
      <c r="F49" s="17">
        <f>' B2级比赛 '!F49*5</f>
        <v>226</v>
      </c>
      <c r="G49" s="17">
        <f>' B2级比赛 '!G49*5</f>
        <v>188.333333333333</v>
      </c>
      <c r="H49" s="17">
        <f>' B2级比赛 '!H49*5</f>
        <v>161.428571428571</v>
      </c>
      <c r="I49" s="17">
        <f>' B2级比赛 '!I49*5</f>
        <v>141.25</v>
      </c>
      <c r="J49" s="17">
        <f>' B2级比赛 '!J49*5</f>
        <v>125.555555555556</v>
      </c>
      <c r="K49" s="17">
        <f>' B2级比赛 '!K49*5</f>
        <v>113</v>
      </c>
      <c r="L49" s="17">
        <f>' B2级比赛 '!L49*5</f>
        <v>102.727272727273</v>
      </c>
      <c r="M49" s="17">
        <f>' B2级比赛 '!M49*5</f>
        <v>94.1666666666667</v>
      </c>
      <c r="N49" s="17">
        <f>' B2级比赛 '!N49*5</f>
        <v>86.9230769230769</v>
      </c>
      <c r="O49" s="17">
        <f>' B2级比赛 '!O49*5</f>
        <v>80.7142857142857</v>
      </c>
      <c r="P49" s="17">
        <f>' B2级比赛 '!P49*5</f>
        <v>75.3333333333333</v>
      </c>
      <c r="Q49" s="17">
        <f>' B2级比赛 '!Q49*5</f>
        <v>70.625</v>
      </c>
      <c r="R49" s="17">
        <f>' B2级比赛 '!R49*5</f>
        <v>66.4705882352941</v>
      </c>
      <c r="S49" s="17">
        <f>' B2级比赛 '!S49*5</f>
        <v>62.7777777777778</v>
      </c>
      <c r="T49" s="17">
        <f>' B2级比赛 '!T49*5</f>
        <v>59.4736842105263</v>
      </c>
      <c r="U49" s="17">
        <f>' B2级比赛 '!U49*5</f>
        <v>56.5</v>
      </c>
      <c r="V49" s="17">
        <f>' B2级比赛 '!V49*5</f>
        <v>53.8095238095238</v>
      </c>
      <c r="W49" s="17">
        <f>' B2级比赛 '!W49*5</f>
        <v>51.3636363636364</v>
      </c>
      <c r="X49" s="17">
        <f>' B2级比赛 '!X49*5</f>
        <v>49.1304347826087</v>
      </c>
      <c r="Y49" s="17">
        <f>' B2级比赛 '!Y49*5</f>
        <v>47.0833333333333</v>
      </c>
      <c r="Z49" s="17">
        <f>' B2级比赛 '!Z49*5</f>
        <v>45.2</v>
      </c>
      <c r="AA49" s="17">
        <f>' B2级比赛 '!AA49*5</f>
        <v>43.4615384615385</v>
      </c>
      <c r="AB49" s="17">
        <f>' B2级比赛 '!AB49*5</f>
        <v>41.8518518518518</v>
      </c>
      <c r="AC49" s="17">
        <f>' B2级比赛 '!AC49*5</f>
        <v>40.3571428571429</v>
      </c>
      <c r="AD49" s="17">
        <f>' B2级比赛 '!AD49*5</f>
        <v>38.9655172413793</v>
      </c>
      <c r="AE49" s="17">
        <f>' B2级比赛 '!AE49*5</f>
        <v>37.6666666666667</v>
      </c>
      <c r="AF49" s="17">
        <f>' B2级比赛 '!AF49*5</f>
        <v>36.4516129032258</v>
      </c>
      <c r="AG49" s="17">
        <f>' B2级比赛 '!AG49*5</f>
        <v>35.3125</v>
      </c>
      <c r="AH49" s="17">
        <f>' B2级比赛 '!AH49*5</f>
        <v>34.2424242424242</v>
      </c>
      <c r="AI49" s="17">
        <f>' B2级比赛 '!AI49*5</f>
        <v>33.2352941176471</v>
      </c>
      <c r="AJ49" s="17">
        <f>' B2级比赛 '!AJ49*5</f>
        <v>32.2857142857143</v>
      </c>
      <c r="AK49" s="17">
        <f>' B2级比赛 '!AK49*5</f>
        <v>31.3888888888889</v>
      </c>
      <c r="AL49" s="17">
        <f>' B2级比赛 '!AL49*5</f>
        <v>30.5405405405405</v>
      </c>
      <c r="AM49" s="17">
        <f>' B2级比赛 '!AM49*5</f>
        <v>29.7368421052632</v>
      </c>
      <c r="AN49" s="17">
        <f>' B2级比赛 '!AN49*5</f>
        <v>28.974358974359</v>
      </c>
      <c r="AO49" s="17">
        <f>' B2级比赛 '!AO49*5</f>
        <v>28.25</v>
      </c>
      <c r="AP49" s="17">
        <f>' B2级比赛 '!AP49*5</f>
        <v>27.5609756097561</v>
      </c>
      <c r="AQ49" s="17">
        <f>' B2级比赛 '!AQ49*5</f>
        <v>26.9047619047619</v>
      </c>
      <c r="AR49" s="17">
        <f>' B2级比赛 '!AR49*5</f>
        <v>26.2790697674419</v>
      </c>
      <c r="AS49" s="17">
        <f>' B2级比赛 '!AS49*5</f>
        <v>25.6818181818182</v>
      </c>
      <c r="AT49" s="17">
        <f>' B2级比赛 '!AT49*5</f>
        <v>25.1111111111111</v>
      </c>
      <c r="AU49" s="17">
        <f>' B2级比赛 '!AU49*5</f>
        <v>24.5652173913043</v>
      </c>
      <c r="AV49" s="17">
        <f>' B2级比赛 '!AV49*5</f>
        <v>24.0425531914894</v>
      </c>
      <c r="AW49" s="17">
        <f>' B2级比赛 '!AW49*5</f>
        <v>23.5416666666667</v>
      </c>
      <c r="AX49" s="17">
        <f>' B2级比赛 '!AX49*5</f>
        <v>23.0612244897959</v>
      </c>
      <c r="AY49" s="17">
        <f>' B2级比赛 '!AY49*5</f>
        <v>22.6</v>
      </c>
      <c r="AZ49" s="16">
        <f>' B2级比赛 '!AZ49*5</f>
        <v>22.156862745098</v>
      </c>
      <c r="BA49" s="16">
        <f>' B2级比赛 '!BA49*5</f>
        <v>14.8684210526316</v>
      </c>
      <c r="BB49" s="16">
        <f>' B2级比赛 '!BB49*5</f>
        <v>11.1881188118812</v>
      </c>
      <c r="BC49" s="16">
        <f>' B2级比赛 '!BC49*5</f>
        <v>7.48344370860927</v>
      </c>
      <c r="BD49" s="16">
        <f>' B2级比赛 '!BD49*5</f>
        <v>5.6218905472637</v>
      </c>
      <c r="BE49" s="21">
        <f>' B2级比赛 '!BE49*5</f>
        <v>8032.83464133972</v>
      </c>
      <c r="BF49" s="20">
        <f>' B2级比赛 '!BF49*5</f>
        <v>8.03283464133972</v>
      </c>
      <c r="BG49" s="18"/>
      <c r="BH49" s="18"/>
      <c r="BI49" s="18"/>
      <c r="BJ49" s="18"/>
      <c r="BK49" s="18"/>
      <c r="BL49" s="18"/>
      <c r="BM49" s="18"/>
      <c r="BN49" s="23"/>
      <c r="BO49" s="23"/>
      <c r="BP49" s="23"/>
      <c r="BQ49" s="23"/>
      <c r="BR49" s="23"/>
      <c r="BS49" s="23"/>
      <c r="BT49" s="23"/>
      <c r="BU49" s="2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>
      <c r="A50" s="11" t="s">
        <v>112</v>
      </c>
      <c r="B50" s="12">
        <f>' B2级比赛 '!B50*5</f>
        <v>1243</v>
      </c>
      <c r="C50" s="12">
        <f>' B2级比赛 '!C50*5</f>
        <v>1044.12</v>
      </c>
      <c r="D50" s="15">
        <f>' B2级比赛 '!D50*5</f>
        <v>807.95</v>
      </c>
      <c r="E50" s="15">
        <f>' B2级比赛 '!E50*5</f>
        <v>565.565</v>
      </c>
      <c r="F50" s="15">
        <f>' B2级比赛 '!F50*5</f>
        <v>323.18</v>
      </c>
      <c r="G50" s="15">
        <f>' B2级比赛 '!G50*5</f>
        <v>269.316666666667</v>
      </c>
      <c r="H50" s="15">
        <f>' B2级比赛 '!H50*5</f>
        <v>230.842857142857</v>
      </c>
      <c r="I50" s="15">
        <f>' B2级比赛 '!I50*5</f>
        <v>201.9875</v>
      </c>
      <c r="J50" s="15">
        <f>' B2级比赛 '!J50*5</f>
        <v>179.544444444444</v>
      </c>
      <c r="K50" s="15">
        <f>' B2级比赛 '!K50*5</f>
        <v>161.59</v>
      </c>
      <c r="L50" s="15">
        <f>' B2级比赛 '!L50*5</f>
        <v>146.9</v>
      </c>
      <c r="M50" s="15">
        <f>' B2级比赛 '!M50*5</f>
        <v>134.658333333333</v>
      </c>
      <c r="N50" s="15">
        <f>' B2级比赛 '!N50*5</f>
        <v>124.3</v>
      </c>
      <c r="O50" s="15">
        <f>' B2级比赛 '!O50*5</f>
        <v>115.421428571429</v>
      </c>
      <c r="P50" s="12">
        <f>' B2级比赛 '!P50*5</f>
        <v>107.726666666667</v>
      </c>
      <c r="Q50" s="12">
        <f>' B2级比赛 '!Q50*5</f>
        <v>100.99375</v>
      </c>
      <c r="R50" s="12">
        <f>' B2级比赛 '!R50*5</f>
        <v>95.0529411764706</v>
      </c>
      <c r="S50" s="12">
        <f>' B2级比赛 '!S50*5</f>
        <v>89.7722222222222</v>
      </c>
      <c r="T50" s="12">
        <f>' B2级比赛 '!T50*5</f>
        <v>85.0473684210527</v>
      </c>
      <c r="U50" s="12">
        <f>' B2级比赛 '!U50*5</f>
        <v>80.795</v>
      </c>
      <c r="V50" s="12">
        <f>' B2级比赛 '!V50*5</f>
        <v>76.9476190476191</v>
      </c>
      <c r="W50" s="12">
        <f>' B2级比赛 '!W50*5</f>
        <v>73.45</v>
      </c>
      <c r="X50" s="12">
        <f>' B2级比赛 '!X50*5</f>
        <v>70.2565217391304</v>
      </c>
      <c r="Y50" s="12">
        <f>' B2级比赛 '!Y50*5</f>
        <v>67.3291666666667</v>
      </c>
      <c r="Z50" s="12">
        <f>' B2级比赛 '!Z50*5</f>
        <v>64.636</v>
      </c>
      <c r="AA50" s="12">
        <f>' B2级比赛 '!AA50*5</f>
        <v>62.15</v>
      </c>
      <c r="AB50" s="12">
        <f>' B2级比赛 '!AB50*5</f>
        <v>59.8481481481482</v>
      </c>
      <c r="AC50" s="12">
        <f>' B2级比赛 '!AC50*5</f>
        <v>57.7107142857143</v>
      </c>
      <c r="AD50" s="12">
        <f>' B2级比赛 '!AD50*5</f>
        <v>55.7206896551724</v>
      </c>
      <c r="AE50" s="12">
        <f>' B2级比赛 '!AE50*5</f>
        <v>53.8633333333333</v>
      </c>
      <c r="AF50" s="12">
        <f>' B2级比赛 '!AF50*5</f>
        <v>52.1258064516129</v>
      </c>
      <c r="AG50" s="12">
        <f>' B2级比赛 '!AG50*5</f>
        <v>50.496875</v>
      </c>
      <c r="AH50" s="12">
        <f>' B2级比赛 '!AH50*5</f>
        <v>48.9666666666667</v>
      </c>
      <c r="AI50" s="12">
        <f>' B2级比赛 '!AI50*5</f>
        <v>43.8705882352941</v>
      </c>
      <c r="AJ50" s="12">
        <f>' B2级比赛 '!AJ50*5</f>
        <v>42.6171428571429</v>
      </c>
      <c r="AK50" s="12">
        <f>' B2级比赛 '!AK50*5</f>
        <v>41.4333333333333</v>
      </c>
      <c r="AL50" s="12">
        <f>' B2级比赛 '!AL50*5</f>
        <v>40.3135135135135</v>
      </c>
      <c r="AM50" s="12">
        <f>' B2级比赛 '!AM50*5</f>
        <v>39.2526315789474</v>
      </c>
      <c r="AN50" s="12">
        <f>' B2级比赛 '!AN50*5</f>
        <v>38.2461538461538</v>
      </c>
      <c r="AO50" s="12">
        <f>' B2级比赛 '!AO50*5</f>
        <v>37.29</v>
      </c>
      <c r="AP50" s="12">
        <f>' B2级比赛 '!AP50*5</f>
        <v>36.3804878048781</v>
      </c>
      <c r="AQ50" s="12">
        <f>' B2级比赛 '!AQ50*5</f>
        <v>35.5142857142857</v>
      </c>
      <c r="AR50" s="12">
        <f>' B2级比赛 '!AR50*5</f>
        <v>34.6883720930233</v>
      </c>
      <c r="AS50" s="12">
        <f>' B2级比赛 '!AS50*5</f>
        <v>33.9</v>
      </c>
      <c r="AT50" s="12">
        <f>' B2级比赛 '!AT50*5</f>
        <v>33.1466666666667</v>
      </c>
      <c r="AU50" s="12">
        <f>' B2级比赛 '!AU50*5</f>
        <v>32.4260869565217</v>
      </c>
      <c r="AV50" s="12">
        <f>' B2级比赛 '!AV50*5</f>
        <v>31.736170212766</v>
      </c>
      <c r="AW50" s="12">
        <f>' B2级比赛 '!AW50*5</f>
        <v>31.075</v>
      </c>
      <c r="AX50" s="12">
        <f>' B2级比赛 '!AX50*5</f>
        <v>30.4408163265306</v>
      </c>
      <c r="AY50" s="12">
        <f>' B2级比赛 '!AY50*5</f>
        <v>29.832</v>
      </c>
      <c r="AZ50" s="18">
        <f>' B2级比赛 '!AZ50*5</f>
        <v>29.2470588235294</v>
      </c>
      <c r="BA50" s="18">
        <f>' B2级比赛 '!BA50*5</f>
        <v>19.6263157894737</v>
      </c>
      <c r="BB50" s="18">
        <f>' B2级比赛 '!BB50*5</f>
        <v>14.7683168316832</v>
      </c>
      <c r="BC50" s="18">
        <f>' B2级比赛 '!BC50*5</f>
        <v>9.87814569536424</v>
      </c>
      <c r="BD50" s="18">
        <f>' B2级比赛 '!BD50*5</f>
        <v>7.42089552238806</v>
      </c>
      <c r="BE50" s="18">
        <f>' B2级比赛 '!BE50*5</f>
        <v>4.95548172757475</v>
      </c>
      <c r="BF50" s="21">
        <f>' B2级比赛 '!BF50*5</f>
        <v>11205.224185452</v>
      </c>
      <c r="BG50" s="20">
        <f>' B2级比赛 '!BG50*5</f>
        <v>8.00373156103714</v>
      </c>
      <c r="BH50" s="18"/>
      <c r="BI50" s="18"/>
      <c r="BJ50" s="18"/>
      <c r="BK50" s="18"/>
      <c r="BL50" s="18"/>
      <c r="BM50" s="18"/>
      <c r="BN50" s="23"/>
      <c r="BO50" s="23"/>
      <c r="BP50" s="23"/>
      <c r="BQ50" s="23"/>
      <c r="BR50" s="23"/>
      <c r="BS50" s="23"/>
      <c r="BT50" s="23"/>
      <c r="BU50" s="2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</row>
    <row r="51" spans="1:110">
      <c r="A51" s="11" t="s">
        <v>113</v>
      </c>
      <c r="B51" s="12">
        <f>' B2级比赛 '!B51*5</f>
        <v>1429.45</v>
      </c>
      <c r="C51" s="12">
        <f>' B2级比赛 '!C51*5</f>
        <v>1200.738</v>
      </c>
      <c r="D51" s="15">
        <f>' B2级比赛 '!D51*5</f>
        <v>857.67</v>
      </c>
      <c r="E51" s="15">
        <f>' B2级比赛 '!E51*5</f>
        <v>600.369</v>
      </c>
      <c r="F51" s="15">
        <f>' B2级比赛 '!F51*5</f>
        <v>343.068</v>
      </c>
      <c r="G51" s="15">
        <f>' B2级比赛 '!G51*5</f>
        <v>285.89</v>
      </c>
      <c r="H51" s="15">
        <f>' B2级比赛 '!H51*5</f>
        <v>245.048571428571</v>
      </c>
      <c r="I51" s="15">
        <f>' B2级比赛 '!I51*5</f>
        <v>214.4175</v>
      </c>
      <c r="J51" s="15">
        <f>' B2级比赛 '!J51*5</f>
        <v>190.593333333333</v>
      </c>
      <c r="K51" s="15">
        <f>' B2级比赛 '!K51*5</f>
        <v>171.534</v>
      </c>
      <c r="L51" s="15">
        <f>' B2级比赛 '!L51*5</f>
        <v>155.94</v>
      </c>
      <c r="M51" s="15">
        <f>' B2级比赛 '!M51*5</f>
        <v>142.945</v>
      </c>
      <c r="N51" s="15">
        <f>' B2级比赛 '!N51*5</f>
        <v>131.949230769231</v>
      </c>
      <c r="O51" s="15">
        <f>' B2级比赛 '!O51*5</f>
        <v>122.524285714286</v>
      </c>
      <c r="P51" s="12">
        <f>' B2级比赛 '!P51*5</f>
        <v>114.356</v>
      </c>
      <c r="Q51" s="12">
        <f>' B2级比赛 '!Q51*5</f>
        <v>107.20875</v>
      </c>
      <c r="R51" s="12">
        <f>' B2级比赛 '!R51*5</f>
        <v>100.902352941176</v>
      </c>
      <c r="S51" s="12">
        <f>' B2级比赛 '!S51*5</f>
        <v>95.2966666666667</v>
      </c>
      <c r="T51" s="12">
        <f>' B2级比赛 '!T51*5</f>
        <v>90.2810526315789</v>
      </c>
      <c r="U51" s="12">
        <f>' B2级比赛 '!U51*5</f>
        <v>85.767</v>
      </c>
      <c r="V51" s="12">
        <f>' B2级比赛 '!V51*5</f>
        <v>81.6828571428571</v>
      </c>
      <c r="W51" s="12">
        <f>' B2级比赛 '!W51*5</f>
        <v>77.97</v>
      </c>
      <c r="X51" s="12">
        <f>' B2级比赛 '!X51*5</f>
        <v>74.58</v>
      </c>
      <c r="Y51" s="12">
        <f>' B2级比赛 '!Y51*5</f>
        <v>71.4725</v>
      </c>
      <c r="Z51" s="12">
        <f>' B2级比赛 '!Z51*5</f>
        <v>68.6136</v>
      </c>
      <c r="AA51" s="12">
        <f>' B2级比赛 '!AA51*5</f>
        <v>65.9746153846154</v>
      </c>
      <c r="AB51" s="12">
        <f>' B2级比赛 '!AB51*5</f>
        <v>63.5311111111111</v>
      </c>
      <c r="AC51" s="12">
        <f>' B2级比赛 '!AC51*5</f>
        <v>61.2621428571429</v>
      </c>
      <c r="AD51" s="12">
        <f>' B2级比赛 '!AD51*5</f>
        <v>59.1496551724138</v>
      </c>
      <c r="AE51" s="12">
        <f>' B2级比赛 '!AE51*5</f>
        <v>57.178</v>
      </c>
      <c r="AF51" s="12">
        <f>' B2级比赛 '!AF51*5</f>
        <v>55.3335483870968</v>
      </c>
      <c r="AG51" s="12">
        <f>' B2级比赛 '!AG51*5</f>
        <v>53.604375</v>
      </c>
      <c r="AH51" s="12">
        <f>' B2级比赛 '!AH51*5</f>
        <v>51.98</v>
      </c>
      <c r="AI51" s="12">
        <f>' B2级比赛 '!AI51*5</f>
        <v>50.4511764705882</v>
      </c>
      <c r="AJ51" s="12">
        <f>' B2级比赛 '!AJ51*5</f>
        <v>49.0097142857143</v>
      </c>
      <c r="AK51" s="12">
        <f>' B2级比赛 '!AK51*5</f>
        <v>47.6483333333333</v>
      </c>
      <c r="AL51" s="12">
        <f>' B2级比赛 '!AL51*5</f>
        <v>46.3605405405405</v>
      </c>
      <c r="AM51" s="12">
        <f>' B2级比赛 '!AM51*5</f>
        <v>45.1405263157895</v>
      </c>
      <c r="AN51" s="12">
        <f>' B2级比赛 '!AN51*5</f>
        <v>43.9830769230769</v>
      </c>
      <c r="AO51" s="12">
        <f>' B2级比赛 '!AO51*5</f>
        <v>42.8835</v>
      </c>
      <c r="AP51" s="12">
        <f>' B2级比赛 '!AP51*5</f>
        <v>41.8375609756097</v>
      </c>
      <c r="AQ51" s="12">
        <f>' B2级比赛 '!AQ51*5</f>
        <v>40.8414285714286</v>
      </c>
      <c r="AR51" s="12">
        <f>' B2级比赛 '!AR51*5</f>
        <v>39.8916279069767</v>
      </c>
      <c r="AS51" s="12">
        <f>' B2级比赛 '!AS51*5</f>
        <v>38.985</v>
      </c>
      <c r="AT51" s="12">
        <f>' B2级比赛 '!AT51*5</f>
        <v>38.1186666666667</v>
      </c>
      <c r="AU51" s="12">
        <f>' B2级比赛 '!AU51*5</f>
        <v>37.29</v>
      </c>
      <c r="AV51" s="12">
        <f>' B2级比赛 '!AV51*5</f>
        <v>36.4965957446808</v>
      </c>
      <c r="AW51" s="12">
        <f>' B2级比赛 '!AW51*5</f>
        <v>35.73625</v>
      </c>
      <c r="AX51" s="12">
        <f>' B2级比赛 '!AX51*5</f>
        <v>35.0069387755102</v>
      </c>
      <c r="AY51" s="12">
        <f>' B2级比赛 '!AY51*5</f>
        <v>34.3068</v>
      </c>
      <c r="AZ51" s="18">
        <f>' B2级比赛 '!AZ51*5</f>
        <v>30.8312745098039</v>
      </c>
      <c r="BA51" s="18">
        <f>' B2级比赛 '!BA51*5</f>
        <v>20.6894078947368</v>
      </c>
      <c r="BB51" s="18">
        <f>' B2级比赛 '!BB51*5</f>
        <v>15.5682673267327</v>
      </c>
      <c r="BC51" s="18">
        <f>' B2级比赛 '!BC51*5</f>
        <v>10.4132119205298</v>
      </c>
      <c r="BD51" s="18">
        <f>' B2级比赛 '!BD51*5</f>
        <v>7.82286069651741</v>
      </c>
      <c r="BE51" s="18">
        <f>' B2级比赛 '!BE51*5</f>
        <v>5.22390365448505</v>
      </c>
      <c r="BF51" s="18">
        <f>' B2级比赛 '!BF51*5</f>
        <v>3.56471321695761</v>
      </c>
      <c r="BG51" s="21">
        <f>' B2级比赛 '!BG51*5</f>
        <v>12480.5076643226</v>
      </c>
      <c r="BH51" s="20">
        <f>' B2级比赛 '!BH51*5</f>
        <v>8.05194042859526</v>
      </c>
      <c r="BI51" s="18"/>
      <c r="BJ51" s="18"/>
      <c r="BK51" s="18"/>
      <c r="BL51" s="18"/>
      <c r="BM51" s="18"/>
      <c r="BN51" s="23"/>
      <c r="BO51" s="23"/>
      <c r="BP51" s="23"/>
      <c r="BQ51" s="23"/>
      <c r="BR51" s="23"/>
      <c r="BS51" s="23"/>
      <c r="BT51" s="23"/>
      <c r="BU51" s="2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</row>
    <row r="52" spans="1:110">
      <c r="A52" s="11" t="s">
        <v>114</v>
      </c>
      <c r="B52" s="12">
        <f>' B2级比赛 '!B52*5</f>
        <v>1643.8675</v>
      </c>
      <c r="C52" s="12">
        <f>' B2级比赛 '!C52*5</f>
        <v>1380.8487</v>
      </c>
      <c r="D52" s="15">
        <f>' B2级比赛 '!D52*5</f>
        <v>1068.513875</v>
      </c>
      <c r="E52" s="15">
        <f>' B2级比赛 '!E52*5</f>
        <v>747.9597125</v>
      </c>
      <c r="F52" s="15">
        <f>' B2级比赛 '!F52*5</f>
        <v>427.40555</v>
      </c>
      <c r="G52" s="15">
        <f>' B2级比赛 '!G52*5</f>
        <v>356.171291666667</v>
      </c>
      <c r="H52" s="15">
        <f>' B2级比赛 '!H52*5</f>
        <v>305.289678571429</v>
      </c>
      <c r="I52" s="15">
        <f>' B2级比赛 '!I52*5</f>
        <v>267.12846875</v>
      </c>
      <c r="J52" s="15">
        <f>' B2级比赛 '!J52*5</f>
        <v>219.182333333333</v>
      </c>
      <c r="K52" s="15">
        <f>' B2级比赛 '!K52*5</f>
        <v>213.702775</v>
      </c>
      <c r="L52" s="15">
        <f>' B2级比赛 '!L52*5</f>
        <v>194.27525</v>
      </c>
      <c r="M52" s="15">
        <f>' B2级比赛 '!M52*5</f>
        <v>178.085645833333</v>
      </c>
      <c r="N52" s="15">
        <f>' B2级比赛 '!N52*5</f>
        <v>164.38675</v>
      </c>
      <c r="O52" s="15">
        <f>' B2级比赛 '!O52*5</f>
        <v>152.644839285714</v>
      </c>
      <c r="P52" s="12">
        <f>' B2级比赛 '!P52*5</f>
        <v>142.468516666667</v>
      </c>
      <c r="Q52" s="12">
        <f>' B2级比赛 '!Q52*5</f>
        <v>133.564234375</v>
      </c>
      <c r="R52" s="12">
        <f>' B2级比赛 '!R52*5</f>
        <v>125.707514705882</v>
      </c>
      <c r="S52" s="12">
        <f>' B2级比赛 '!S52*5</f>
        <v>118.723763888889</v>
      </c>
      <c r="T52" s="12">
        <f>' B2级比赛 '!T52*5</f>
        <v>112.475144736842</v>
      </c>
      <c r="U52" s="12">
        <f>' B2级比赛 '!U52*5</f>
        <v>106.8513875</v>
      </c>
      <c r="V52" s="12">
        <f>' B2级比赛 '!V52*5</f>
        <v>101.763226190476</v>
      </c>
      <c r="W52" s="12">
        <f>' B2级比赛 '!W52*5</f>
        <v>97.137625</v>
      </c>
      <c r="X52" s="12">
        <f>' B2级比赛 '!X52*5</f>
        <v>92.91425</v>
      </c>
      <c r="Y52" s="12">
        <f>' B2级比赛 '!Y52*5</f>
        <v>89.0428229166667</v>
      </c>
      <c r="Z52" s="12">
        <f>' B2级比赛 '!Z52*5</f>
        <v>85.48111</v>
      </c>
      <c r="AA52" s="12">
        <f>' B2级比赛 '!AA52*5</f>
        <v>82.193375</v>
      </c>
      <c r="AB52" s="12">
        <f>' B2级比赛 '!AB52*5</f>
        <v>79.1491759259259</v>
      </c>
      <c r="AC52" s="12">
        <f>' B2级比赛 '!AC52*5</f>
        <v>76.3224196428571</v>
      </c>
      <c r="AD52" s="12">
        <f>' B2级比赛 '!AD52*5</f>
        <v>73.6906120689655</v>
      </c>
      <c r="AE52" s="12">
        <f>' B2级比赛 '!AE52*5</f>
        <v>71.2342583333333</v>
      </c>
      <c r="AF52" s="12">
        <f>' B2级比赛 '!AF52*5</f>
        <v>68.9363790322581</v>
      </c>
      <c r="AG52" s="12">
        <f>' B2级比赛 '!AG52*5</f>
        <v>66.7821171875</v>
      </c>
      <c r="AH52" s="12">
        <f>' B2级比赛 '!AH52*5</f>
        <v>64.7584166666667</v>
      </c>
      <c r="AI52" s="12">
        <f>' B2级比赛 '!AI52*5</f>
        <v>62.8537573529412</v>
      </c>
      <c r="AJ52" s="12">
        <f>' B2级比赛 '!AJ52*5</f>
        <v>61.0579357142857</v>
      </c>
      <c r="AK52" s="12">
        <f>' B2级比赛 '!AK52*5</f>
        <v>59.3618819444444</v>
      </c>
      <c r="AL52" s="12">
        <f>' B2级比赛 '!AL52*5</f>
        <v>57.7575067567567</v>
      </c>
      <c r="AM52" s="12">
        <f>' B2级比赛 '!AM52*5</f>
        <v>56.2375723684211</v>
      </c>
      <c r="AN52" s="12">
        <f>' B2级比赛 '!AN52*5</f>
        <v>54.7955833333333</v>
      </c>
      <c r="AO52" s="12">
        <f>' B2级比赛 '!AO52*5</f>
        <v>53.42569375</v>
      </c>
      <c r="AP52" s="12">
        <f>' B2级比赛 '!AP52*5</f>
        <v>52.1226280487805</v>
      </c>
      <c r="AQ52" s="12">
        <f>' B2级比赛 '!AQ52*5</f>
        <v>50.8816130952381</v>
      </c>
      <c r="AR52" s="12">
        <f>' B2级比赛 '!AR52*5</f>
        <v>49.6983197674419</v>
      </c>
      <c r="AS52" s="12">
        <f>' B2级比赛 '!AS52*5</f>
        <v>48.5688125</v>
      </c>
      <c r="AT52" s="12">
        <f>' B2级比赛 '!AT52*5</f>
        <v>47.4895055555556</v>
      </c>
      <c r="AU52" s="12">
        <f>' B2级比赛 '!AU52*5</f>
        <v>46.457125</v>
      </c>
      <c r="AV52" s="12">
        <f>' B2级比赛 '!AV52*5</f>
        <v>45.4686755319149</v>
      </c>
      <c r="AW52" s="12">
        <f>' B2级比赛 '!AW52*5</f>
        <v>44.5214114583333</v>
      </c>
      <c r="AX52" s="12">
        <f>' B2级比赛 '!AX52*5</f>
        <v>43.6128112244898</v>
      </c>
      <c r="AY52" s="12">
        <f>' B2级比赛 '!AY52*5</f>
        <v>42.740555</v>
      </c>
      <c r="AZ52" s="18">
        <f>' B2级比赛 '!AZ52*5</f>
        <v>41.9025049019608</v>
      </c>
      <c r="BA52" s="18">
        <f>' B2级比赛 '!BA52*5</f>
        <v>28.1187861842105</v>
      </c>
      <c r="BB52" s="18">
        <f>' B2级比赛 '!BB52*5</f>
        <v>19.531099009901</v>
      </c>
      <c r="BC52" s="18">
        <f>' B2级比赛 '!BC52*5</f>
        <v>13.0638476821192</v>
      </c>
      <c r="BD52" s="18">
        <f>' B2级比赛 '!BD52*5</f>
        <v>8.99628980099502</v>
      </c>
      <c r="BE52" s="18">
        <f>' B2级比赛 '!BE52*5</f>
        <v>6.00748920265781</v>
      </c>
      <c r="BF52" s="18">
        <f>' B2级比赛 '!BF52*5</f>
        <v>4.09942019950125</v>
      </c>
      <c r="BG52" s="18">
        <f>' B2级比赛 '!BG52*5</f>
        <v>3.28117265469062</v>
      </c>
      <c r="BH52" s="21">
        <f>' B2级比赛 '!BH52*5</f>
        <v>16096.6028039237</v>
      </c>
      <c r="BI52" s="20">
        <f>' B2级比赛 '!BI52*5</f>
        <v>8.04830140196185</v>
      </c>
      <c r="BJ52" s="18"/>
      <c r="BK52" s="18"/>
      <c r="BL52" s="18"/>
      <c r="BM52" s="18"/>
      <c r="BN52" s="23"/>
      <c r="BO52" s="23"/>
      <c r="BP52" s="23"/>
      <c r="BQ52" s="23"/>
      <c r="BR52" s="23"/>
      <c r="BS52" s="23"/>
      <c r="BT52" s="23"/>
      <c r="BU52" s="2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>
      <c r="A53" s="11" t="s">
        <v>115</v>
      </c>
      <c r="B53" s="12">
        <f>' B2级比赛 '!B53*5</f>
        <v>1890.447625</v>
      </c>
      <c r="C53" s="12">
        <f>' B2级比赛 '!C53*5</f>
        <v>1720.30733875</v>
      </c>
      <c r="D53" s="15">
        <f>' B2级比赛 '!D53*5</f>
        <v>1417.83571875</v>
      </c>
      <c r="E53" s="15">
        <f>' B2级比赛 '!E53*5</f>
        <v>1124.816336875</v>
      </c>
      <c r="F53" s="15">
        <f>' B2级比赛 '!F53*5</f>
        <v>642.7521925</v>
      </c>
      <c r="G53" s="15">
        <f>' B2级比赛 '!G53*5</f>
        <v>535.626827083333</v>
      </c>
      <c r="H53" s="15">
        <f>' B2级比赛 '!H53*5</f>
        <v>459.108708928571</v>
      </c>
      <c r="I53" s="15">
        <f>' B2级比赛 '!I53*5</f>
        <v>401.7201203125</v>
      </c>
      <c r="J53" s="15">
        <f>' B2级比赛 '!J53*5</f>
        <v>357.084551388889</v>
      </c>
      <c r="K53" s="15">
        <f>' B2级比赛 '!K53*5</f>
        <v>321.37609625</v>
      </c>
      <c r="L53" s="15">
        <f>' B2级比赛 '!L53*5</f>
        <v>292.1600875</v>
      </c>
      <c r="M53" s="15">
        <f>' B2级比赛 '!M53*5</f>
        <v>267.813413541667</v>
      </c>
      <c r="N53" s="15">
        <f>' B2级比赛 '!N53*5</f>
        <v>247.212381730769</v>
      </c>
      <c r="O53" s="15">
        <f>' B2级比赛 '!O53*5</f>
        <v>229.554354464286</v>
      </c>
      <c r="P53" s="12">
        <f>' B2级比赛 '!P53*5</f>
        <v>214.250730833333</v>
      </c>
      <c r="Q53" s="12">
        <f>' B2级比赛 '!Q53*5</f>
        <v>200.86006015625</v>
      </c>
      <c r="R53" s="12">
        <f>' B2级比赛 '!R53*5</f>
        <v>166.804202205882</v>
      </c>
      <c r="S53" s="12">
        <f>' B2级比赛 '!S53*5</f>
        <v>178.542275694444</v>
      </c>
      <c r="T53" s="12">
        <f>' B2级比赛 '!T53*5</f>
        <v>169.145313815789</v>
      </c>
      <c r="U53" s="12">
        <f>' B2级比赛 '!U53*5</f>
        <v>160.688048125</v>
      </c>
      <c r="V53" s="12">
        <f>' B2级比赛 '!V53*5</f>
        <v>153.036236309524</v>
      </c>
      <c r="W53" s="12">
        <f>' B2级比赛 '!W53*5</f>
        <v>146.08004375</v>
      </c>
      <c r="X53" s="12">
        <f>' B2级比赛 '!X53*5</f>
        <v>139.7287375</v>
      </c>
      <c r="Y53" s="12">
        <f>' B2级比赛 '!Y53*5</f>
        <v>133.906706770833</v>
      </c>
      <c r="Z53" s="12">
        <f>' B2级比赛 '!Z53*5</f>
        <v>128.5504385</v>
      </c>
      <c r="AA53" s="12">
        <f>' B2级比赛 '!AA53*5</f>
        <v>123.606190865385</v>
      </c>
      <c r="AB53" s="12">
        <f>' B2级比赛 '!AB53*5</f>
        <v>119.028183796296</v>
      </c>
      <c r="AC53" s="12">
        <f>' B2级比赛 '!AC53*5</f>
        <v>114.777177232143</v>
      </c>
      <c r="AD53" s="12">
        <f>' B2级比赛 '!AD53*5</f>
        <v>110.819343534483</v>
      </c>
      <c r="AE53" s="12">
        <f>' B2级比赛 '!AE53*5</f>
        <v>107.125365416667</v>
      </c>
      <c r="AF53" s="12">
        <f>' B2级比赛 '!AF53*5</f>
        <v>103.669708467742</v>
      </c>
      <c r="AG53" s="12">
        <f>' B2级比赛 '!AG53*5</f>
        <v>100.430030078125</v>
      </c>
      <c r="AH53" s="12">
        <f>' B2级比赛 '!AH53*5</f>
        <v>97.3866958333333</v>
      </c>
      <c r="AI53" s="12">
        <f>' B2级比赛 '!AI53*5</f>
        <v>94.52238125</v>
      </c>
      <c r="AJ53" s="12">
        <f>' B2级比赛 '!AJ53*5</f>
        <v>91.8217417857143</v>
      </c>
      <c r="AK53" s="12">
        <f>' B2级比赛 '!AK53*5</f>
        <v>89.2711378472222</v>
      </c>
      <c r="AL53" s="12">
        <f>' B2级比赛 '!AL53*5</f>
        <v>86.8584043918919</v>
      </c>
      <c r="AM53" s="12">
        <f>' B2级比赛 '!AM53*5</f>
        <v>84.5726569078947</v>
      </c>
      <c r="AN53" s="12">
        <f>' B2级比赛 '!AN53*5</f>
        <v>82.4041272435897</v>
      </c>
      <c r="AO53" s="12">
        <f>' B2级比赛 '!AO53*5</f>
        <v>80.3440240625</v>
      </c>
      <c r="AP53" s="12">
        <f>' B2级比赛 '!AP53*5</f>
        <v>78.3844137195122</v>
      </c>
      <c r="AQ53" s="12">
        <f>' B2级比赛 '!AQ53*5</f>
        <v>72.0170523809524</v>
      </c>
      <c r="AR53" s="12">
        <f>' B2级比赛 '!AR53*5</f>
        <v>70.3422372093023</v>
      </c>
      <c r="AS53" s="12">
        <f>' B2级比赛 '!AS53*5</f>
        <v>68.74355</v>
      </c>
      <c r="AT53" s="12">
        <f>' B2级比赛 '!AT53*5</f>
        <v>67.2159155555555</v>
      </c>
      <c r="AU53" s="12">
        <f>' B2级比赛 '!AU53*5</f>
        <v>65.7547</v>
      </c>
      <c r="AV53" s="12">
        <f>' B2级比赛 '!AV53*5</f>
        <v>64.3556638297872</v>
      </c>
      <c r="AW53" s="12">
        <f>' B2级比赛 '!AW53*5</f>
        <v>63.0149208333333</v>
      </c>
      <c r="AX53" s="12">
        <f>' B2级比赛 '!AX53*5</f>
        <v>61.7289020408163</v>
      </c>
      <c r="AY53" s="12">
        <f>' B2级比赛 '!AY53*5</f>
        <v>60.494324</v>
      </c>
      <c r="AZ53" s="18">
        <f>' B2级比赛 '!AZ53*5</f>
        <v>59.3081607843137</v>
      </c>
      <c r="BA53" s="18">
        <f>' B2级比赛 '!BA53*5</f>
        <v>37.3114662828947</v>
      </c>
      <c r="BB53" s="18">
        <f>' B2级比赛 '!BB53*5</f>
        <v>28.0759548267327</v>
      </c>
      <c r="BC53" s="18">
        <f>' B2级比赛 '!BC53*5</f>
        <v>18.7792810430464</v>
      </c>
      <c r="BD53" s="18">
        <f>' B2级比赛 '!BD53*5</f>
        <v>14.1078180970149</v>
      </c>
      <c r="BE53" s="18">
        <f>' B2级比赛 '!BE53*5</f>
        <v>9.42083534053156</v>
      </c>
      <c r="BF53" s="18">
        <f>' B2级比赛 '!BF53*5</f>
        <v>7.07149984413965</v>
      </c>
      <c r="BG53" s="18">
        <f>' B2级比赛 '!BG53*5</f>
        <v>5.66002282934132</v>
      </c>
      <c r="BH53" s="18">
        <f>' B2级比赛 '!BH53*5</f>
        <v>3.7758607689747</v>
      </c>
      <c r="BI53" s="21">
        <f>' B2级比赛 '!BI53*5</f>
        <v>24035.3360929351</v>
      </c>
      <c r="BJ53" s="20">
        <f>' B2级比赛 '!BJ53*5</f>
        <v>8.01177869764503</v>
      </c>
      <c r="BK53" s="18"/>
      <c r="BL53" s="18"/>
      <c r="BM53" s="18"/>
      <c r="BN53" s="23"/>
      <c r="BO53" s="23"/>
      <c r="BP53" s="23"/>
      <c r="BQ53" s="23"/>
      <c r="BR53" s="23"/>
      <c r="BS53" s="23"/>
      <c r="BT53" s="23"/>
      <c r="BU53" s="2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>
      <c r="A54" s="6" t="s">
        <v>116</v>
      </c>
      <c r="B54" s="12">
        <f>' B2级比赛 '!B54*5</f>
        <v>2174.01476875</v>
      </c>
      <c r="C54" s="12">
        <f>' B2级比赛 '!C54*5</f>
        <v>1978.3534395625</v>
      </c>
      <c r="D54" s="15">
        <f>' B2级比赛 '!D54*5</f>
        <v>1739.211815</v>
      </c>
      <c r="E54" s="15">
        <f>' B2级比赛 '!E54*5</f>
        <v>1445.71982121875</v>
      </c>
      <c r="F54" s="15">
        <f>' B2级比赛 '!F54*5</f>
        <v>826.125612125</v>
      </c>
      <c r="G54" s="15">
        <f>' B2级比赛 '!G54*5</f>
        <v>688.438010104166</v>
      </c>
      <c r="H54" s="15">
        <f>' B2级比赛 '!H54*5</f>
        <v>590.089722946428</v>
      </c>
      <c r="I54" s="15">
        <f>' B2级比赛 '!I54*5</f>
        <v>516.328507578125</v>
      </c>
      <c r="J54" s="15">
        <f>' B2级比赛 '!J54*5</f>
        <v>458.958673402778</v>
      </c>
      <c r="K54" s="15">
        <f>' B2级比赛 '!K54*5</f>
        <v>413.0628060625</v>
      </c>
      <c r="L54" s="15">
        <f>' B2级比赛 '!L54*5</f>
        <v>375.511641875</v>
      </c>
      <c r="M54" s="15">
        <f>' B2级比赛 '!M54*5</f>
        <v>344.219005052083</v>
      </c>
      <c r="N54" s="15">
        <f>' B2级比赛 '!N54*5</f>
        <v>317.740620048077</v>
      </c>
      <c r="O54" s="15">
        <f>' B2级比赛 '!O54*5</f>
        <v>295.044861473214</v>
      </c>
      <c r="P54" s="12">
        <f>' B2级比赛 '!P54*5</f>
        <v>275.375204041667</v>
      </c>
      <c r="Q54" s="12">
        <f>' B2级比赛 '!Q54*5</f>
        <v>258.164253789062</v>
      </c>
      <c r="R54" s="12">
        <f>' B2级比赛 '!R54*5</f>
        <v>242.978121213235</v>
      </c>
      <c r="S54" s="12">
        <f>' B2级比赛 '!S54*5</f>
        <v>229.479336701389</v>
      </c>
      <c r="T54" s="12">
        <f>' B2级比赛 '!T54*5</f>
        <v>217.401476875</v>
      </c>
      <c r="U54" s="12">
        <f>' B2级比赛 '!U54*5</f>
        <v>206.53140303125</v>
      </c>
      <c r="V54" s="12">
        <f>' B2级比赛 '!V54*5</f>
        <v>196.696574315476</v>
      </c>
      <c r="W54" s="12">
        <f>' B2级比赛 '!W54*5</f>
        <v>187.7558209375</v>
      </c>
      <c r="X54" s="12">
        <f>' B2级比赛 '!X54*5</f>
        <v>179.592524375</v>
      </c>
      <c r="Y54" s="12">
        <f>' B2级比赛 '!Y54*5</f>
        <v>172.109502526042</v>
      </c>
      <c r="Z54" s="12">
        <f>' B2级比赛 '!Z54*5</f>
        <v>165.225122425</v>
      </c>
      <c r="AA54" s="12">
        <f>' B2级比赛 '!AA54*5</f>
        <v>158.870310024038</v>
      </c>
      <c r="AB54" s="12">
        <f>' B2级比赛 '!AB54*5</f>
        <v>152.986224467593</v>
      </c>
      <c r="AC54" s="12">
        <f>' B2级比赛 '!AC54*5</f>
        <v>147.522430736607</v>
      </c>
      <c r="AD54" s="12">
        <f>' B2级比赛 '!AD54*5</f>
        <v>142.435450366379</v>
      </c>
      <c r="AE54" s="12">
        <f>' B2级比赛 '!AE54*5</f>
        <v>137.687602020833</v>
      </c>
      <c r="AF54" s="12">
        <f>' B2级比赛 '!AF54*5</f>
        <v>133.246066471774</v>
      </c>
      <c r="AG54" s="12">
        <f>' B2级比赛 '!AG54*5</f>
        <v>129.082126894531</v>
      </c>
      <c r="AH54" s="12">
        <f>' B2级比赛 '!AH54*5</f>
        <v>125.170547291667</v>
      </c>
      <c r="AI54" s="12">
        <f>' B2级比赛 '!AI54*5</f>
        <v>121.489060606618</v>
      </c>
      <c r="AJ54" s="12">
        <f>' B2级比赛 '!AJ54*5</f>
        <v>118.017944589286</v>
      </c>
      <c r="AK54" s="12">
        <f>' B2级比赛 '!AK54*5</f>
        <v>114.739668350694</v>
      </c>
      <c r="AL54" s="12">
        <f>' B2级比赛 '!AL54*5</f>
        <v>111.638596233108</v>
      </c>
      <c r="AM54" s="12">
        <f>' B2级比赛 '!AM54*5</f>
        <v>108.7007384375</v>
      </c>
      <c r="AN54" s="12">
        <f>' B2级比赛 '!AN54*5</f>
        <v>105.913540016026</v>
      </c>
      <c r="AO54" s="12">
        <f>' B2级比赛 '!AO54*5</f>
        <v>103.265701515625</v>
      </c>
      <c r="AP54" s="12">
        <f>' B2级比赛 '!AP54*5</f>
        <v>100.747025868902</v>
      </c>
      <c r="AQ54" s="12">
        <f>' B2级比赛 '!AQ54*5</f>
        <v>98.3482871577381</v>
      </c>
      <c r="AR54" s="12">
        <f>' B2级比赛 '!AR54*5</f>
        <v>96.0611176889535</v>
      </c>
      <c r="AS54" s="12">
        <f>' B2级比赛 '!AS54*5</f>
        <v>93.87791046875</v>
      </c>
      <c r="AT54" s="12">
        <f>' B2级比赛 '!AT54*5</f>
        <v>91.7917346805555</v>
      </c>
      <c r="AU54" s="12">
        <f>' B2级比赛 '!AU54*5</f>
        <v>89.7962621875</v>
      </c>
      <c r="AV54" s="12">
        <f>' B2级比赛 '!AV54*5</f>
        <v>87.8857034175532</v>
      </c>
      <c r="AW54" s="12">
        <f>' B2级比赛 '!AW54*5</f>
        <v>86.0547512630208</v>
      </c>
      <c r="AX54" s="12">
        <f>' B2级比赛 '!AX54*5</f>
        <v>84.2985318494897</v>
      </c>
      <c r="AY54" s="12">
        <f>' B2级比赛 '!AY54*5</f>
        <v>82.6125612125</v>
      </c>
      <c r="AZ54" s="18">
        <f>' B2级比赛 '!AZ54*5</f>
        <v>80.9927070710784</v>
      </c>
      <c r="BA54" s="18">
        <f>' B2级比赛 '!BA54*5</f>
        <v>54.35036921875</v>
      </c>
      <c r="BB54" s="18">
        <f>' B2级比赛 '!BB54*5</f>
        <v>40.8973075309406</v>
      </c>
      <c r="BC54" s="18">
        <f>' B2级比赛 '!BC54*5</f>
        <v>27.3551527193709</v>
      </c>
      <c r="BD54" s="18">
        <f>' B2级比赛 '!BD54*5</f>
        <v>20.5503883613184</v>
      </c>
      <c r="BE54" s="18">
        <f>' B2级比赛 '!BE54*5</f>
        <v>13.7230168127076</v>
      </c>
      <c r="BF54" s="18">
        <f>' B2级比赛 '!BF54*5</f>
        <v>9.75866978491272</v>
      </c>
      <c r="BG54" s="18">
        <f>' B2级比赛 '!BG54*5</f>
        <v>7.81083150449101</v>
      </c>
      <c r="BH54" s="18">
        <f>' B2级比赛 '!BH54*5</f>
        <v>5.21068786118509</v>
      </c>
      <c r="BI54" s="18">
        <f>' B2级比赛 '!BI54*5</f>
        <v>3.6921329739011</v>
      </c>
      <c r="BJ54" s="21">
        <f>' B2级比赛 '!BJ54*5</f>
        <v>33617.2222832712</v>
      </c>
      <c r="BK54" s="20">
        <f>' B2级比赛 '!BK54*5</f>
        <v>8.004100543636</v>
      </c>
      <c r="BL54" s="18"/>
      <c r="BM54" s="18"/>
      <c r="BN54" s="23"/>
      <c r="BO54" s="23"/>
      <c r="BP54" s="23"/>
      <c r="BQ54" s="23"/>
      <c r="BR54" s="23"/>
      <c r="BS54" s="23"/>
      <c r="BT54" s="23"/>
      <c r="BU54" s="2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>
      <c r="A55" s="11" t="s">
        <v>117</v>
      </c>
      <c r="B55" s="12">
        <f>' B2级比赛 '!B55*5</f>
        <v>2500.1169840625</v>
      </c>
      <c r="C55" s="12">
        <f>' B2级比赛 '!C55*5</f>
        <v>2275.10645549687</v>
      </c>
      <c r="D55" s="15">
        <f>' B2级比赛 '!D55*5</f>
        <v>2000.09358725</v>
      </c>
      <c r="E55" s="15">
        <f>' B2级比赛 '!E55*5</f>
        <v>1837.58598328594</v>
      </c>
      <c r="F55" s="15">
        <f>' B2级比赛 '!F55*5</f>
        <v>1200.05615235</v>
      </c>
      <c r="G55" s="15">
        <f>' B2级比赛 '!G55*5</f>
        <v>1000.046793625</v>
      </c>
      <c r="H55" s="15">
        <f>' B2级比赛 '!H55*5</f>
        <v>857.182965964285</v>
      </c>
      <c r="I55" s="15">
        <f>' B2级比赛 '!I55*5</f>
        <v>750.03509521875</v>
      </c>
      <c r="J55" s="15">
        <f>' B2级比赛 '!J55*5</f>
        <v>666.697862416666</v>
      </c>
      <c r="K55" s="15">
        <f>' B2级比赛 '!K55*5</f>
        <v>600.028076175</v>
      </c>
      <c r="L55" s="15">
        <f>' B2级比赛 '!L55*5</f>
        <v>545.48006925</v>
      </c>
      <c r="M55" s="15">
        <f>' B2级比赛 '!M55*5</f>
        <v>500.0233968125</v>
      </c>
      <c r="N55" s="15">
        <f>' B2级比赛 '!N55*5</f>
        <v>461.560058596154</v>
      </c>
      <c r="O55" s="15">
        <f>' B2级比赛 '!O55*5</f>
        <v>428.591482982143</v>
      </c>
      <c r="P55" s="12">
        <f>' B2级比赛 '!P55*5</f>
        <v>400.01871745</v>
      </c>
      <c r="Q55" s="12">
        <f>' B2级比赛 '!Q55*5</f>
        <v>375.017547609375</v>
      </c>
      <c r="R55" s="12">
        <f>' B2级比赛 '!R55*5</f>
        <v>352.957691867647</v>
      </c>
      <c r="S55" s="12">
        <f>' B2级比赛 '!S55*5</f>
        <v>333.348931208333</v>
      </c>
      <c r="T55" s="12">
        <f>' B2级比赛 '!T55*5</f>
        <v>315.804250618421</v>
      </c>
      <c r="U55" s="12">
        <f>' B2级比赛 '!U55*5</f>
        <v>300.0140380875</v>
      </c>
      <c r="V55" s="12">
        <f>' B2级比赛 '!V55*5</f>
        <v>285.727655321428</v>
      </c>
      <c r="W55" s="12">
        <f>' B2级比赛 '!W55*5</f>
        <v>272.740034625</v>
      </c>
      <c r="X55" s="12">
        <f>' B2级比赛 '!X55*5</f>
        <v>260.88177225</v>
      </c>
      <c r="Y55" s="12">
        <f>' B2级比赛 '!Y55*5</f>
        <v>250.01169840625</v>
      </c>
      <c r="Z55" s="12">
        <f>' B2级比赛 '!Z55*5</f>
        <v>240.01123047</v>
      </c>
      <c r="AA55" s="12">
        <f>' B2级比赛 '!AA55*5</f>
        <v>230.780029298077</v>
      </c>
      <c r="AB55" s="12">
        <f>' B2级比赛 '!AB55*5</f>
        <v>222.232620805555</v>
      </c>
      <c r="AC55" s="12">
        <f>' B2级比赛 '!AC55*5</f>
        <v>214.295741491071</v>
      </c>
      <c r="AD55" s="12">
        <f>' B2级比赛 '!AD55*5</f>
        <v>206.906233163793</v>
      </c>
      <c r="AE55" s="12">
        <f>' B2级比赛 '!AE55*5</f>
        <v>200.009358725</v>
      </c>
      <c r="AF55" s="12">
        <f>' B2级比赛 '!AF55*5</f>
        <v>193.557443927419</v>
      </c>
      <c r="AG55" s="12">
        <f>' B2级比赛 '!AG55*5</f>
        <v>187.508773804687</v>
      </c>
      <c r="AH55" s="12">
        <f>' B2级比赛 '!AH55*5</f>
        <v>181.82668975</v>
      </c>
      <c r="AI55" s="12">
        <f>' B2级比赛 '!AI55*5</f>
        <v>176.478845933823</v>
      </c>
      <c r="AJ55" s="12">
        <f>' B2级比赛 '!AJ55*5</f>
        <v>171.436593192857</v>
      </c>
      <c r="AK55" s="12">
        <f>' B2级比赛 '!AK55*5</f>
        <v>166.674465604167</v>
      </c>
      <c r="AL55" s="12">
        <f>' B2级比赛 '!AL55*5</f>
        <v>162.169750317567</v>
      </c>
      <c r="AM55" s="12">
        <f>' B2级比赛 '!AM55*5</f>
        <v>157.90212530921</v>
      </c>
      <c r="AN55" s="12">
        <f>' B2级比赛 '!AN55*5</f>
        <v>153.853352865385</v>
      </c>
      <c r="AO55" s="12">
        <f>' B2级比赛 '!AO55*5</f>
        <v>150.00701904375</v>
      </c>
      <c r="AP55" s="12">
        <f>' B2级比赛 '!AP55*5</f>
        <v>146.348311262195</v>
      </c>
      <c r="AQ55" s="12">
        <f>' B2级比赛 '!AQ55*5</f>
        <v>142.863827660714</v>
      </c>
      <c r="AR55" s="12">
        <f>' B2级比赛 '!AR55*5</f>
        <v>139.541413063953</v>
      </c>
      <c r="AS55" s="12">
        <f>' B2级比赛 '!AS55*5</f>
        <v>136.3700173125</v>
      </c>
      <c r="AT55" s="12">
        <f>' B2级比赛 '!AT55*5</f>
        <v>133.339572483333</v>
      </c>
      <c r="AU55" s="12">
        <f>' B2级比赛 '!AU55*5</f>
        <v>130.440886125</v>
      </c>
      <c r="AV55" s="12">
        <f>' B2级比赛 '!AV55*5</f>
        <v>127.66554812234</v>
      </c>
      <c r="AW55" s="12">
        <f>' B2级比赛 '!AW55*5</f>
        <v>125.005849203125</v>
      </c>
      <c r="AX55" s="12">
        <f>' B2级比赛 '!AX55*5</f>
        <v>122.454709423469</v>
      </c>
      <c r="AY55" s="12">
        <f>' B2级比赛 '!AY55*5</f>
        <v>120.005615235</v>
      </c>
      <c r="AZ55" s="18">
        <f>' B2级比赛 '!AZ55*5</f>
        <v>117.652563955882</v>
      </c>
      <c r="BA55" s="18">
        <f>' B2级比赛 '!BA55*5</f>
        <v>78.9510626546052</v>
      </c>
      <c r="BB55" s="18">
        <f>' B2级比赛 '!BB55*5</f>
        <v>59.4087204133663</v>
      </c>
      <c r="BC55" s="18">
        <f>' B2级比赛 '!BC55*5</f>
        <v>39.7369586870861</v>
      </c>
      <c r="BD55" s="18">
        <f>' B2级比赛 '!BD55*5</f>
        <v>29.8521430932836</v>
      </c>
      <c r="BE55" s="18">
        <f>' B2级比赛 '!BE55*5</f>
        <v>19.9344875805648</v>
      </c>
      <c r="BF55" s="18">
        <f>' B2级比赛 '!BF55*5</f>
        <v>13.0928819614246</v>
      </c>
      <c r="BG55" s="18">
        <f>' B2级比赛 '!BG55*5</f>
        <v>10.4795322685254</v>
      </c>
      <c r="BH55" s="18">
        <f>' B2级比赛 '!BH55*5</f>
        <v>6.99100621375666</v>
      </c>
      <c r="BI55" s="18">
        <f>' B2级比赛 '!BI55*5</f>
        <v>5.24500066586538</v>
      </c>
      <c r="BJ55" s="18">
        <f>' B2级比赛 '!BJ55*5</f>
        <v>3.49783188976099</v>
      </c>
      <c r="BK55" s="21">
        <f>' B2级比赛 '!BK55*5</f>
        <v>48008.1901067196</v>
      </c>
      <c r="BL55" s="20">
        <f>' B2级比赛 '!BL55*5</f>
        <v>8.00136501778659</v>
      </c>
      <c r="BM55" s="18"/>
      <c r="BN55" s="23"/>
      <c r="BO55" s="23"/>
      <c r="BP55" s="23"/>
      <c r="BQ55" s="23"/>
      <c r="BR55" s="23"/>
      <c r="BS55" s="23"/>
      <c r="BT55" s="23"/>
      <c r="BU55" s="2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="2" customFormat="1" ht="21.6" spans="1:110">
      <c r="A56" s="16" t="s">
        <v>118</v>
      </c>
      <c r="B56" s="17">
        <f>' B2级比赛 '!B56*5</f>
        <v>2875.13453167187</v>
      </c>
      <c r="C56" s="17">
        <f>' B2级比赛 '!C56*5</f>
        <v>2616.3724238214</v>
      </c>
      <c r="D56" s="17">
        <f>' B2级比赛 '!D56*5</f>
        <v>2443.86435192109</v>
      </c>
      <c r="E56" s="17">
        <f>' B2级比赛 '!E56*5</f>
        <v>2213.85358938734</v>
      </c>
      <c r="F56" s="17">
        <f>' B2级比赛 '!F56*5</f>
        <v>1610.07533773625</v>
      </c>
      <c r="G56" s="17">
        <f>' B2级比赛 '!G56*5</f>
        <v>1341.72944811354</v>
      </c>
      <c r="H56" s="17">
        <f>' B2级比赛 '!H56*5</f>
        <v>1150.05381266875</v>
      </c>
      <c r="I56" s="17">
        <f>' B2级比赛 '!I56*5</f>
        <v>1006.29708608516</v>
      </c>
      <c r="J56" s="17">
        <f>' B2级比赛 '!J56*5</f>
        <v>894.486298742361</v>
      </c>
      <c r="K56" s="17">
        <f>' B2级比赛 '!K56*5</f>
        <v>805.037668868125</v>
      </c>
      <c r="L56" s="17">
        <f>' B2级比赛 '!L56*5</f>
        <v>731.85242624375</v>
      </c>
      <c r="M56" s="17">
        <f>' B2级比赛 '!M56*5</f>
        <v>670.864724056771</v>
      </c>
      <c r="N56" s="17">
        <f>' B2级比赛 '!N56*5</f>
        <v>619.259745283173</v>
      </c>
      <c r="O56" s="17">
        <f>' B2级比赛 '!O56*5</f>
        <v>575.026906334375</v>
      </c>
      <c r="P56" s="17">
        <f>' B2级比赛 '!P56*5</f>
        <v>536.691779245416</v>
      </c>
      <c r="Q56" s="17">
        <f>' B2级比赛 '!Q56*5</f>
        <v>503.148543042578</v>
      </c>
      <c r="R56" s="17">
        <f>' B2级比赛 '!R56*5</f>
        <v>473.551569922426</v>
      </c>
      <c r="S56" s="17">
        <f>' B2级比赛 '!S56*5</f>
        <v>447.24314937118</v>
      </c>
      <c r="T56" s="17">
        <f>' B2级比赛 '!T56*5</f>
        <v>423.704036246381</v>
      </c>
      <c r="U56" s="17">
        <f>' B2级比赛 '!U56*5</f>
        <v>402.518834434062</v>
      </c>
      <c r="V56" s="17">
        <f>' B2级比赛 '!V56*5</f>
        <v>383.351270889583</v>
      </c>
      <c r="W56" s="17">
        <f>' B2级比赛 '!W56*5</f>
        <v>365.926213121875</v>
      </c>
      <c r="X56" s="17">
        <f>' B2级比赛 '!X56*5</f>
        <v>350.01637776875</v>
      </c>
      <c r="Y56" s="17">
        <f>' B2级比赛 '!Y56*5</f>
        <v>335.432362028385</v>
      </c>
      <c r="Z56" s="17">
        <f>' B2级比赛 '!Z56*5</f>
        <v>322.01506754725</v>
      </c>
      <c r="AA56" s="17">
        <f>' B2级比赛 '!AA56*5</f>
        <v>309.629872641586</v>
      </c>
      <c r="AB56" s="17">
        <f>' B2级比赛 '!AB56*5</f>
        <v>298.162099580787</v>
      </c>
      <c r="AC56" s="17">
        <f>' B2级比赛 '!AC56*5</f>
        <v>287.513453167187</v>
      </c>
      <c r="AD56" s="17">
        <f>' B2级比赛 '!AD56*5</f>
        <v>277.599196161422</v>
      </c>
      <c r="AE56" s="17">
        <f>' B2级比赛 '!AE56*5</f>
        <v>268.345889622708</v>
      </c>
      <c r="AF56" s="17">
        <f>' B2级比赛 '!AF56*5</f>
        <v>259.689570602621</v>
      </c>
      <c r="AG56" s="17">
        <f>' B2级比赛 '!AG56*5</f>
        <v>251.574271521289</v>
      </c>
      <c r="AH56" s="17">
        <f>' B2级比赛 '!AH56*5</f>
        <v>243.950808747917</v>
      </c>
      <c r="AI56" s="17">
        <f>' B2级比赛 '!AI56*5</f>
        <v>236.775784961213</v>
      </c>
      <c r="AJ56" s="17">
        <f>' B2级比赛 '!AJ56*5</f>
        <v>230.01076253375</v>
      </c>
      <c r="AK56" s="17">
        <f>' B2级比赛 '!AK56*5</f>
        <v>223.62157468559</v>
      </c>
      <c r="AL56" s="17">
        <f>' B2级比赛 '!AL56*5</f>
        <v>217.577748342736</v>
      </c>
      <c r="AM56" s="17">
        <f>' B2级比赛 '!AM56*5</f>
        <v>211.852018123191</v>
      </c>
      <c r="AN56" s="17">
        <f>' B2级比赛 '!AN56*5</f>
        <v>206.419915094391</v>
      </c>
      <c r="AO56" s="17">
        <f>' B2级比赛 '!AO56*5</f>
        <v>201.259417217031</v>
      </c>
      <c r="AP56" s="17">
        <f>' B2级比赛 '!AP56*5</f>
        <v>196.350650943445</v>
      </c>
      <c r="AQ56" s="17">
        <f>' B2级比赛 '!AQ56*5</f>
        <v>191.675635444792</v>
      </c>
      <c r="AR56" s="17">
        <f>' B2级比赛 '!AR56*5</f>
        <v>187.218062527471</v>
      </c>
      <c r="AS56" s="17">
        <f>' B2级比赛 '!AS56*5</f>
        <v>182.963106560937</v>
      </c>
      <c r="AT56" s="17">
        <f>' B2级比赛 '!AT56*5</f>
        <v>178.897259748472</v>
      </c>
      <c r="AU56" s="17">
        <f>' B2级比赛 '!AU56*5</f>
        <v>175.008188884375</v>
      </c>
      <c r="AV56" s="17">
        <f>' B2级比赛 '!AV56*5</f>
        <v>171.284610397473</v>
      </c>
      <c r="AW56" s="17">
        <f>' B2级比赛 '!AW56*5</f>
        <v>167.716181014193</v>
      </c>
      <c r="AX56" s="17">
        <f>' B2级比赛 '!AX56*5</f>
        <v>164.293401809821</v>
      </c>
      <c r="AY56" s="17">
        <f>' B2级比赛 '!AY56*5</f>
        <v>161.007533773625</v>
      </c>
      <c r="AZ56" s="16">
        <f>' B2级比赛 '!AZ56*5</f>
        <v>157.850523307475</v>
      </c>
      <c r="BA56" s="16">
        <f>' B2级比赛 '!BA56*5</f>
        <v>105.926009061595</v>
      </c>
      <c r="BB56" s="16">
        <f>' B2级比赛 '!BB56*5</f>
        <v>79.7066998879331</v>
      </c>
      <c r="BC56" s="16">
        <f>' B2级比赛 '!BC56*5</f>
        <v>53.3137529051738</v>
      </c>
      <c r="BD56" s="16">
        <f>' B2级比赛 '!BD56*5</f>
        <v>40.0516253168221</v>
      </c>
      <c r="BE56" s="16">
        <f>' B2级比赛 '!BE56*5</f>
        <v>26.7454375039244</v>
      </c>
      <c r="BF56" s="16">
        <f>' B2级比赛 '!BF56*5</f>
        <v>20.075752340851</v>
      </c>
      <c r="BG56" s="16">
        <f>' B2级比赛 '!BG56*5</f>
        <v>16.0686161450724</v>
      </c>
      <c r="BH56" s="16">
        <f>' B2级比赛 '!BH56*5</f>
        <v>10.7195428610935</v>
      </c>
      <c r="BI56" s="16">
        <f>' B2级比赛 '!BI56*5</f>
        <v>8.04233435432692</v>
      </c>
      <c r="BJ56" s="16">
        <f>' B2级比赛 '!BJ56*5</f>
        <v>4.78869842050612</v>
      </c>
      <c r="BK56" s="16">
        <f>' B2级比赛 '!BK56*5</f>
        <v>3.59212210353807</v>
      </c>
      <c r="BL56" s="25">
        <f>' B2级比赛 '!BL56*5</f>
        <v>68235.3002761978</v>
      </c>
      <c r="BM56" s="20" t="e">
        <f>' B2级比赛 '!#REF!*5</f>
        <v>#REF!</v>
      </c>
      <c r="BN56" s="23"/>
      <c r="BO56" s="23"/>
      <c r="BP56" s="23"/>
      <c r="BQ56" s="23"/>
      <c r="BR56" s="23"/>
      <c r="BS56" s="23"/>
      <c r="BT56" s="23"/>
      <c r="BU56" s="2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ht="21.6" spans="1:110">
      <c r="A57" s="11" t="s">
        <v>119</v>
      </c>
      <c r="B57" s="12">
        <f>' B2级比赛 '!B57*5</f>
        <v>3162.64798483906</v>
      </c>
      <c r="C57" s="12">
        <f>' B2级比赛 '!C57*5</f>
        <v>2878.00966620355</v>
      </c>
      <c r="D57" s="15">
        <f>' B2级比赛 '!D57*5</f>
        <v>2688.2507871132</v>
      </c>
      <c r="E57" s="15">
        <f>' B2级比赛 '!E57*5</f>
        <v>2435.23894832608</v>
      </c>
      <c r="F57" s="15">
        <f>' B2级比赛 '!F57*5</f>
        <v>2150.60062969056</v>
      </c>
      <c r="G57" s="15">
        <f>' B2级比赛 '!G57*5</f>
        <v>1897.58879090344</v>
      </c>
      <c r="H57" s="15">
        <f>' B2级比赛 '!H57*5</f>
        <v>1626.50467791723</v>
      </c>
      <c r="I57" s="15">
        <f>' B2级比赛 '!I57*5</f>
        <v>1423.19159317758</v>
      </c>
      <c r="J57" s="15">
        <f>' B2级比赛 '!J57*5</f>
        <v>1265.05919393562</v>
      </c>
      <c r="K57" s="15">
        <f>' B2级比赛 '!K57*5</f>
        <v>1138.55327454206</v>
      </c>
      <c r="L57" s="15">
        <f>' B2级比赛 '!L57*5</f>
        <v>1035.04843140187</v>
      </c>
      <c r="M57" s="15">
        <f>' B2级比赛 '!M57*5</f>
        <v>948.794395451718</v>
      </c>
      <c r="N57" s="15">
        <f>' B2级比赛 '!N57*5</f>
        <v>875.810211186202</v>
      </c>
      <c r="O57" s="15">
        <f>' B2级比赛 '!O57*5</f>
        <v>813.252338958616</v>
      </c>
      <c r="P57" s="12">
        <f>' B2级比赛 '!P57*5</f>
        <v>759.035516361375</v>
      </c>
      <c r="Q57" s="12">
        <f>' B2级比赛 '!Q57*5</f>
        <v>711.595796588789</v>
      </c>
      <c r="R57" s="12">
        <f>' B2级比赛 '!R57*5</f>
        <v>669.73722031886</v>
      </c>
      <c r="S57" s="12">
        <f>' B2级比赛 '!S57*5</f>
        <v>632.529596967812</v>
      </c>
      <c r="T57" s="12">
        <f>' B2级比赛 '!T57*5</f>
        <v>599.238565548454</v>
      </c>
      <c r="U57" s="12">
        <f>' B2级比赛 '!U57*5</f>
        <v>569.276637271031</v>
      </c>
      <c r="V57" s="12">
        <f>' B2级比赛 '!V57*5</f>
        <v>542.168225972411</v>
      </c>
      <c r="W57" s="12">
        <f>' B2级比赛 '!W57*5</f>
        <v>517.524215700937</v>
      </c>
      <c r="X57" s="12">
        <f>' B2级比赛 '!X57*5</f>
        <v>495.023162844375</v>
      </c>
      <c r="Y57" s="12">
        <f>' B2级比赛 '!Y57*5</f>
        <v>474.397197725859</v>
      </c>
      <c r="Z57" s="12">
        <f>' B2级比赛 '!Z57*5</f>
        <v>442.770717877469</v>
      </c>
      <c r="AA57" s="12">
        <f>' B2级比赛 '!AA57*5</f>
        <v>425.741074882181</v>
      </c>
      <c r="AB57" s="12">
        <f>' B2级比赛 '!AB57*5</f>
        <v>409.972886923582</v>
      </c>
      <c r="AC57" s="12">
        <f>' B2级比赛 '!AC57*5</f>
        <v>395.330998104883</v>
      </c>
      <c r="AD57" s="12">
        <f>' B2级比赛 '!AD57*5</f>
        <v>381.698894721956</v>
      </c>
      <c r="AE57" s="12">
        <f>' B2级比赛 '!AE57*5</f>
        <v>368.975598231224</v>
      </c>
      <c r="AF57" s="12">
        <f>' B2级比赛 '!AF57*5</f>
        <v>357.073159578604</v>
      </c>
      <c r="AG57" s="12">
        <f>' B2级比赛 '!AG57*5</f>
        <v>345.914623341772</v>
      </c>
      <c r="AH57" s="12">
        <f>' B2级比赛 '!AH57*5</f>
        <v>335.432362028385</v>
      </c>
      <c r="AI57" s="12">
        <f>' B2级比赛 '!AI57*5</f>
        <v>325.566704321668</v>
      </c>
      <c r="AJ57" s="12">
        <f>' B2级比赛 '!AJ57*5</f>
        <v>316.264798483906</v>
      </c>
      <c r="AK57" s="12">
        <f>' B2级比赛 '!AK57*5</f>
        <v>307.479665192687</v>
      </c>
      <c r="AL57" s="12">
        <f>' B2级比赛 '!AL57*5</f>
        <v>299.169403971263</v>
      </c>
      <c r="AM57" s="12">
        <f>' B2级比赛 '!AM57*5</f>
        <v>291.296524919387</v>
      </c>
      <c r="AN57" s="12">
        <f>' B2级比赛 '!AN57*5</f>
        <v>283.827383254788</v>
      </c>
      <c r="AO57" s="12">
        <f>' B2级比赛 '!AO57*5</f>
        <v>276.731698673418</v>
      </c>
      <c r="AP57" s="12">
        <f>' B2级比赛 '!AP57*5</f>
        <v>269.982145047237</v>
      </c>
      <c r="AQ57" s="12">
        <f>' B2级比赛 '!AQ57*5</f>
        <v>263.553998736588</v>
      </c>
      <c r="AR57" s="12">
        <f>' B2级比赛 '!AR57*5</f>
        <v>257.424835975272</v>
      </c>
      <c r="AS57" s="12">
        <f>' B2级比赛 '!AS57*5</f>
        <v>251.574271521289</v>
      </c>
      <c r="AT57" s="12">
        <f>' B2级比赛 '!AT57*5</f>
        <v>245.983732154149</v>
      </c>
      <c r="AU57" s="12">
        <f>' B2级比赛 '!AU57*5</f>
        <v>240.636259716016</v>
      </c>
      <c r="AV57" s="12">
        <f>' B2级比赛 '!AV57*5</f>
        <v>235.516339296526</v>
      </c>
      <c r="AW57" s="12">
        <f>' B2级比赛 '!AW57*5</f>
        <v>230.609748894515</v>
      </c>
      <c r="AX57" s="12">
        <f>' B2级比赛 '!AX57*5</f>
        <v>225.903427488504</v>
      </c>
      <c r="AY57" s="12">
        <f>' B2级比赛 '!AY57*5</f>
        <v>221.385358938734</v>
      </c>
      <c r="AZ57" s="18">
        <f>' B2级比赛 '!AZ57*5</f>
        <v>217.044469547779</v>
      </c>
      <c r="BA57" s="18">
        <f>' B2级比赛 '!BA57*5</f>
        <v>145.648262459694</v>
      </c>
      <c r="BB57" s="18">
        <f>' B2级比赛 '!BB57*5</f>
        <v>109.596712345908</v>
      </c>
      <c r="BC57" s="18">
        <f>' B2级比赛 '!BC57*5</f>
        <v>73.306410244614</v>
      </c>
      <c r="BD57" s="18">
        <f>' B2级比赛 '!BD57*5</f>
        <v>55.0709848106304</v>
      </c>
      <c r="BE57" s="18">
        <f>' B2级比赛 '!BE57*5</f>
        <v>36.7749765678961</v>
      </c>
      <c r="BF57" s="18">
        <f>' B2级比赛 '!BF57*5</f>
        <v>27.6041594686701</v>
      </c>
      <c r="BG57" s="18">
        <f>' B2级比赛 '!BG57*5</f>
        <v>22.0943471994745</v>
      </c>
      <c r="BH57" s="18">
        <f>' B2级比赛 '!BH57*5</f>
        <v>14.7393714340036</v>
      </c>
      <c r="BI57" s="18">
        <f>' B2级比赛 '!BI57*5</f>
        <v>11.0582097371995</v>
      </c>
      <c r="BJ57" s="18">
        <f>' B2级比赛 '!BJ57*5</f>
        <v>7.37459556757942</v>
      </c>
      <c r="BK57" s="18">
        <f>' B2级比赛 '!BK57*5</f>
        <v>5.53186803944863</v>
      </c>
      <c r="BL57" s="18">
        <f>' B2级比赛 '!BL57*5</f>
        <v>3.58314000281666</v>
      </c>
      <c r="BM57" s="21" t="e">
        <f>' B2级比赛 '!#REF!*5</f>
        <v>#REF!</v>
      </c>
      <c r="BN57" s="23"/>
      <c r="BO57" s="23"/>
      <c r="BP57" s="23"/>
      <c r="BQ57" s="23"/>
      <c r="BR57" s="23"/>
      <c r="BS57" s="23"/>
      <c r="BT57" s="23"/>
      <c r="BU57" s="2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="4" customFormat="1" ht="21.6" spans="1:110">
      <c r="A58" s="11" t="s">
        <v>120</v>
      </c>
      <c r="B58" s="12">
        <f>' B2级比赛 '!B58*5</f>
        <v>3162.64798483906</v>
      </c>
      <c r="C58" s="12">
        <f>' B2级比赛 '!C58*5</f>
        <v>2878.00966620355</v>
      </c>
      <c r="D58" s="15">
        <f>' B2级比赛 '!D58*5</f>
        <v>2688.2507871132</v>
      </c>
      <c r="E58" s="15">
        <f>' B2级比赛 '!E58*5</f>
        <v>2435.23894832608</v>
      </c>
      <c r="F58" s="15">
        <f>' B2级比赛 '!F58*5</f>
        <v>2150.60062969056</v>
      </c>
      <c r="G58" s="15">
        <f>' B2级比赛 '!G58*5</f>
        <v>1897.58879090344</v>
      </c>
      <c r="H58" s="15">
        <f>' B2级比赛 '!H58*5</f>
        <v>1626.50467791723</v>
      </c>
      <c r="I58" s="15">
        <f>' B2级比赛 '!I58*5</f>
        <v>1423.19159317758</v>
      </c>
      <c r="J58" s="15">
        <f>' B2级比赛 '!J58*5</f>
        <v>1265.05919393562</v>
      </c>
      <c r="K58" s="15">
        <f>' B2级比赛 '!K58*5</f>
        <v>1138.55327454206</v>
      </c>
      <c r="L58" s="15">
        <f>' B2级比赛 '!L58*5</f>
        <v>1035.04843140187</v>
      </c>
      <c r="M58" s="15">
        <f>' B2级比赛 '!M58*5</f>
        <v>948.794395451718</v>
      </c>
      <c r="N58" s="15">
        <f>' B2级比赛 '!N58*5</f>
        <v>875.810211186202</v>
      </c>
      <c r="O58" s="15">
        <f>' B2级比赛 '!O58*5</f>
        <v>813.252338958616</v>
      </c>
      <c r="P58" s="12">
        <f>' B2级比赛 '!P58*5</f>
        <v>759.035516361375</v>
      </c>
      <c r="Q58" s="12">
        <f>' B2级比赛 '!Q58*5</f>
        <v>711.595796588789</v>
      </c>
      <c r="R58" s="12">
        <f>' B2级比赛 '!R58*5</f>
        <v>669.73722031886</v>
      </c>
      <c r="S58" s="12">
        <f>' B2级比赛 '!S58*5</f>
        <v>632.529596967812</v>
      </c>
      <c r="T58" s="12">
        <f>' B2级比赛 '!T58*5</f>
        <v>599.238565548454</v>
      </c>
      <c r="U58" s="12">
        <f>' B2级比赛 '!U58*5</f>
        <v>569.276637271031</v>
      </c>
      <c r="V58" s="12">
        <f>' B2级比赛 '!V58*5</f>
        <v>542.168225972411</v>
      </c>
      <c r="W58" s="12">
        <f>' B2级比赛 '!W58*5</f>
        <v>517.524215700937</v>
      </c>
      <c r="X58" s="12">
        <f>' B2级比赛 '!X58*5</f>
        <v>495.023162844375</v>
      </c>
      <c r="Y58" s="12">
        <f>' B2级比赛 '!Y58*5</f>
        <v>474.397197725859</v>
      </c>
      <c r="Z58" s="12">
        <f>' B2级比赛 '!Z58*5</f>
        <v>442.770717877469</v>
      </c>
      <c r="AA58" s="12">
        <f>' B2级比赛 '!AA58*5</f>
        <v>425.741074882181</v>
      </c>
      <c r="AB58" s="12">
        <f>' B2级比赛 '!AB58*5</f>
        <v>409.972886923582</v>
      </c>
      <c r="AC58" s="12">
        <f>' B2级比赛 '!AC58*5</f>
        <v>395.330998104883</v>
      </c>
      <c r="AD58" s="12">
        <f>' B2级比赛 '!AD58*5</f>
        <v>381.698894721956</v>
      </c>
      <c r="AE58" s="12">
        <f>' B2级比赛 '!AE58*5</f>
        <v>368.975598231224</v>
      </c>
      <c r="AF58" s="12">
        <f>' B2级比赛 '!AF58*5</f>
        <v>357.073159578604</v>
      </c>
      <c r="AG58" s="12">
        <f>' B2级比赛 '!AG58*5</f>
        <v>345.914623341772</v>
      </c>
      <c r="AH58" s="12">
        <f>' B2级比赛 '!AH58*5</f>
        <v>335.432362028385</v>
      </c>
      <c r="AI58" s="12">
        <f>' B2级比赛 '!AI58*5</f>
        <v>325.566704321668</v>
      </c>
      <c r="AJ58" s="12">
        <f>' B2级比赛 '!AJ58*5</f>
        <v>316.264798483906</v>
      </c>
      <c r="AK58" s="12">
        <f>' B2级比赛 '!AK58*5</f>
        <v>307.479665192687</v>
      </c>
      <c r="AL58" s="12">
        <f>' B2级比赛 '!AL58*5</f>
        <v>299.169403971263</v>
      </c>
      <c r="AM58" s="12">
        <f>' B2级比赛 '!AM58*5</f>
        <v>291.296524919387</v>
      </c>
      <c r="AN58" s="12">
        <f>' B2级比赛 '!AN58*5</f>
        <v>283.827383254788</v>
      </c>
      <c r="AO58" s="12">
        <f>' B2级比赛 '!AO58*5</f>
        <v>276.731698673418</v>
      </c>
      <c r="AP58" s="12">
        <f>' B2级比赛 '!AP58*5</f>
        <v>269.982145047237</v>
      </c>
      <c r="AQ58" s="12">
        <f>' B2级比赛 '!AQ58*5</f>
        <v>263.553998736588</v>
      </c>
      <c r="AR58" s="12">
        <f>' B2级比赛 '!AR58*5</f>
        <v>257.424835975272</v>
      </c>
      <c r="AS58" s="12">
        <f>' B2级比赛 '!AS58*5</f>
        <v>251.574271521289</v>
      </c>
      <c r="AT58" s="12">
        <f>' B2级比赛 '!AT58*5</f>
        <v>245.983732154149</v>
      </c>
      <c r="AU58" s="12">
        <f>' B2级比赛 '!AU58*5</f>
        <v>240.636259716016</v>
      </c>
      <c r="AV58" s="12">
        <f>' B2级比赛 '!AV58*5</f>
        <v>235.516339296526</v>
      </c>
      <c r="AW58" s="12">
        <f>' B2级比赛 '!AW58*5</f>
        <v>230.609748894515</v>
      </c>
      <c r="AX58" s="12">
        <f>' B2级比赛 '!AX58*5</f>
        <v>225.903427488504</v>
      </c>
      <c r="AY58" s="12">
        <f>' B2级比赛 '!AY58*5</f>
        <v>221.385358938734</v>
      </c>
      <c r="AZ58" s="18">
        <f>' B2级比赛 '!AZ58*5</f>
        <v>217.044469547779</v>
      </c>
      <c r="BA58" s="18">
        <f>' B2级比赛 '!BA58*5</f>
        <v>145.648262459694</v>
      </c>
      <c r="BB58" s="18">
        <f>' B2级比赛 '!BB58*5</f>
        <v>109.596712345908</v>
      </c>
      <c r="BC58" s="18">
        <f>' B2级比赛 '!BC58*5</f>
        <v>73.306410244614</v>
      </c>
      <c r="BD58" s="18">
        <f>' B2级比赛 '!BD58*5</f>
        <v>55.0709848106304</v>
      </c>
      <c r="BE58" s="18">
        <f>' B2级比赛 '!BE58*5</f>
        <v>36.7749765678961</v>
      </c>
      <c r="BF58" s="18">
        <f>' B2级比赛 '!BF58*5</f>
        <v>27.6041594686701</v>
      </c>
      <c r="BG58" s="18">
        <f>' B2级比赛 '!BG58*5</f>
        <v>22.0943471994745</v>
      </c>
      <c r="BH58" s="18">
        <f>' B2级比赛 '!BH58*5</f>
        <v>14.7393714340036</v>
      </c>
      <c r="BI58" s="18">
        <f>' B2级比赛 '!BI58*5</f>
        <v>11.0582097371995</v>
      </c>
      <c r="BJ58" s="18">
        <f>' B2级比赛 '!BJ58*5</f>
        <v>7.37459556757942</v>
      </c>
      <c r="BK58" s="18">
        <f>' B2级比赛 '!BK58*5</f>
        <v>5.53186803944863</v>
      </c>
      <c r="BL58" s="18">
        <f>' B2级比赛 '!BL58*5</f>
        <v>3.58314000281666</v>
      </c>
      <c r="BM58" s="18" t="e">
        <f>' B2级比赛 '!#REF!*5</f>
        <v>#REF!</v>
      </c>
      <c r="BN58" s="23"/>
      <c r="BO58" s="23"/>
      <c r="BP58" s="23"/>
      <c r="BQ58" s="23"/>
      <c r="BR58" s="23"/>
      <c r="BS58" s="23"/>
      <c r="BT58" s="23"/>
      <c r="BU58" s="23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</row>
    <row r="59" s="4" customFormat="1" spans="1:110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23"/>
      <c r="BO59" s="23"/>
      <c r="BP59" s="23"/>
      <c r="BQ59" s="23"/>
      <c r="BR59" s="23"/>
      <c r="BS59" s="23"/>
      <c r="BT59" s="23"/>
      <c r="BU59" s="23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</row>
    <row r="60" s="4" customFormat="1" spans="1:7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</row>
    <row r="61" s="4" customFormat="1" spans="1:7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</row>
    <row r="62" s="4" customFormat="1" spans="1:7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</row>
    <row r="63" s="4" customFormat="1" spans="1:7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</row>
    <row r="64" s="4" customFormat="1" spans="1:7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</row>
    <row r="65" s="4" customFormat="1" spans="1:7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</row>
    <row r="66" s="4" customFormat="1" spans="1:7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</row>
    <row r="67" s="4" customFormat="1" spans="1:7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</row>
    <row r="68" s="4" customFormat="1" spans="1:7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</row>
    <row r="69" s="4" customFormat="1" spans="1:7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</row>
    <row r="70" s="4" customFormat="1" spans="1:7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</row>
    <row r="71" s="4" customFormat="1" spans="1:7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</row>
    <row r="72" s="4" customFormat="1" spans="1:7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</row>
    <row r="73" s="4" customFormat="1" spans="1:7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</row>
    <row r="74" s="4" customFormat="1" spans="1:7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</row>
    <row r="75" s="4" customFormat="1" spans="1:7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</row>
    <row r="76" s="4" customFormat="1" spans="1:7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</row>
    <row r="77" s="4" customFormat="1" spans="1:7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</row>
  </sheetData>
  <mergeCells count="1">
    <mergeCell ref="A1:H1"/>
  </mergeCells>
  <conditionalFormatting sqref="1:1048576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F77"/>
  <sheetViews>
    <sheetView topLeftCell="A31" workbookViewId="0">
      <selection activeCell="A59" sqref="$A59:$XFD59"/>
    </sheetView>
  </sheetViews>
  <sheetFormatPr defaultColWidth="9" defaultRowHeight="10.8"/>
  <cols>
    <col min="1" max="7" width="9" style="5"/>
    <col min="8" max="8" width="9.75" style="5" customWidth="1"/>
    <col min="9" max="37" width="9" style="5"/>
    <col min="38" max="58" width="9" style="6"/>
    <col min="59" max="59" width="9" style="5"/>
    <col min="60" max="60" width="11.3796296296296" style="5" customWidth="1"/>
    <col min="61" max="61" width="12.1296296296296" style="5" customWidth="1"/>
    <col min="62" max="62" width="12.75" style="5" customWidth="1"/>
    <col min="63" max="63" width="11.8796296296296" style="5" customWidth="1"/>
    <col min="64" max="64" width="12" style="5" customWidth="1"/>
    <col min="65" max="65" width="13" style="5" customWidth="1"/>
    <col min="66" max="16384" width="9" style="5"/>
  </cols>
  <sheetData>
    <row r="1" spans="1:8">
      <c r="A1" s="7" t="s">
        <v>121</v>
      </c>
      <c r="B1" s="7"/>
      <c r="C1" s="7"/>
      <c r="D1" s="7"/>
      <c r="E1" s="7"/>
      <c r="F1" s="7"/>
      <c r="G1" s="7"/>
      <c r="H1" s="7"/>
    </row>
    <row r="2" spans="1:1">
      <c r="A2" s="8"/>
    </row>
    <row r="3" s="1" customFormat="1" ht="21.6" spans="1:73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  <c r="AF3" s="9" t="s">
        <v>32</v>
      </c>
      <c r="AG3" s="9" t="s">
        <v>33</v>
      </c>
      <c r="AH3" s="9" t="s">
        <v>34</v>
      </c>
      <c r="AI3" s="9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9" t="s">
        <v>53</v>
      </c>
      <c r="BB3" s="9" t="s">
        <v>54</v>
      </c>
      <c r="BC3" s="9" t="s">
        <v>55</v>
      </c>
      <c r="BD3" s="9" t="s">
        <v>56</v>
      </c>
      <c r="BE3" s="9" t="s">
        <v>57</v>
      </c>
      <c r="BF3" s="9" t="s">
        <v>58</v>
      </c>
      <c r="BG3" s="9" t="s">
        <v>59</v>
      </c>
      <c r="BH3" s="9" t="s">
        <v>60</v>
      </c>
      <c r="BI3" s="9" t="s">
        <v>61</v>
      </c>
      <c r="BJ3" s="9" t="s">
        <v>62</v>
      </c>
      <c r="BK3" s="9" t="s">
        <v>63</v>
      </c>
      <c r="BL3" s="9" t="s">
        <v>64</v>
      </c>
      <c r="BM3" s="9" t="s">
        <v>65</v>
      </c>
      <c r="BN3" s="22"/>
      <c r="BO3" s="22"/>
      <c r="BP3" s="22"/>
      <c r="BQ3" s="22"/>
      <c r="BR3" s="22"/>
      <c r="BS3" s="22"/>
      <c r="BT3" s="22"/>
      <c r="BU3" s="22"/>
    </row>
    <row r="4" spans="1:73">
      <c r="A4" s="11" t="s">
        <v>66</v>
      </c>
      <c r="B4" s="12">
        <f>' B2级比赛 '!B4*5</f>
        <v>10</v>
      </c>
      <c r="C4" s="13">
        <v>10</v>
      </c>
      <c r="D4" s="14">
        <v>2.5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9"/>
      <c r="BO4" s="19"/>
      <c r="BP4" s="19"/>
      <c r="BQ4" s="19"/>
      <c r="BR4" s="19"/>
      <c r="BS4" s="19"/>
      <c r="BT4" s="19"/>
      <c r="BU4" s="19"/>
    </row>
    <row r="5" spans="1:73">
      <c r="A5" s="11" t="s">
        <v>67</v>
      </c>
      <c r="B5" s="12">
        <f>' B2级比赛 '!B5*5</f>
        <v>20</v>
      </c>
      <c r="C5" s="12">
        <f>' B2级比赛 '!C5*5</f>
        <v>14</v>
      </c>
      <c r="D5" s="13">
        <f>' B2级比赛 '!D5*5</f>
        <v>34</v>
      </c>
      <c r="E5" s="14">
        <f>' B2级比赛 '!E5*5</f>
        <v>4.25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9"/>
      <c r="BO5" s="19"/>
      <c r="BP5" s="19"/>
      <c r="BQ5" s="19"/>
      <c r="BR5" s="19"/>
      <c r="BS5" s="19"/>
      <c r="BT5" s="19"/>
      <c r="BU5" s="19"/>
    </row>
    <row r="6" spans="1:73">
      <c r="A6" s="11" t="s">
        <v>68</v>
      </c>
      <c r="B6" s="12">
        <f>' B2级比赛 '!B6*5</f>
        <v>30</v>
      </c>
      <c r="C6" s="12">
        <f>' B2级比赛 '!C6*5</f>
        <v>21</v>
      </c>
      <c r="D6" s="15">
        <f>' B2级比赛 '!D6*5</f>
        <v>15</v>
      </c>
      <c r="E6" s="13">
        <f>' B2级比赛 '!E6*5</f>
        <v>66</v>
      </c>
      <c r="F6" s="14">
        <f>' B2级比赛 '!F6*5</f>
        <v>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9"/>
      <c r="BO6" s="19"/>
      <c r="BP6" s="19"/>
      <c r="BQ6" s="19"/>
      <c r="BR6" s="19"/>
      <c r="BS6" s="19"/>
      <c r="BT6" s="19"/>
      <c r="BU6" s="19"/>
    </row>
    <row r="7" spans="1:73">
      <c r="A7" s="11" t="s">
        <v>69</v>
      </c>
      <c r="B7" s="12">
        <f>' B2级比赛 '!B7*5</f>
        <v>34</v>
      </c>
      <c r="C7" s="12">
        <f>' B2级比赛 '!C7*5</f>
        <v>23.8</v>
      </c>
      <c r="D7" s="15">
        <f>' B2级比赛 '!D7*5</f>
        <v>17</v>
      </c>
      <c r="E7" s="15">
        <f>' B2级比赛 '!E7*5</f>
        <v>11.9</v>
      </c>
      <c r="F7" s="13">
        <f>' B2级比赛 '!F7*5</f>
        <v>86.7</v>
      </c>
      <c r="G7" s="14">
        <f>' B2级比赛 '!G7*5</f>
        <v>6.19285714285714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9"/>
      <c r="BO7" s="19"/>
      <c r="BP7" s="19"/>
      <c r="BQ7" s="19"/>
      <c r="BR7" s="19"/>
      <c r="BS7" s="19"/>
      <c r="BT7" s="19"/>
      <c r="BU7" s="19"/>
    </row>
    <row r="8" spans="1:73">
      <c r="A8" s="11" t="s">
        <v>70</v>
      </c>
      <c r="B8" s="12">
        <f>' B2级比赛 '!B8*5</f>
        <v>41</v>
      </c>
      <c r="C8" s="12">
        <f>' B2级比赛 '!C8*5</f>
        <v>28.7</v>
      </c>
      <c r="D8" s="15">
        <f>' B2级比赛 '!D8*5</f>
        <v>20.5</v>
      </c>
      <c r="E8" s="15">
        <f>' B2级比赛 '!E8*5</f>
        <v>14.35</v>
      </c>
      <c r="F8" s="15">
        <f>' B2级比赛 '!F8*5</f>
        <v>8.2</v>
      </c>
      <c r="G8" s="13">
        <f>' B2级比赛 '!G8*5</f>
        <v>112.75</v>
      </c>
      <c r="H8" s="14">
        <f>' B2级比赛 '!H8*5</f>
        <v>6.26388888888889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9"/>
      <c r="BO8" s="19"/>
      <c r="BP8" s="19"/>
      <c r="BQ8" s="19"/>
      <c r="BR8" s="19"/>
      <c r="BS8" s="19"/>
      <c r="BT8" s="19"/>
      <c r="BU8" s="19"/>
    </row>
    <row r="9" spans="1:73">
      <c r="A9" s="11" t="s">
        <v>71</v>
      </c>
      <c r="B9" s="12">
        <f>' B2级比赛 '!B9*5</f>
        <v>46</v>
      </c>
      <c r="C9" s="12">
        <f>' B2级比赛 '!C9*5</f>
        <v>32.2</v>
      </c>
      <c r="D9" s="15">
        <f>' B2级比赛 '!D9*5</f>
        <v>23</v>
      </c>
      <c r="E9" s="15">
        <f>' B2级比赛 '!E9*5</f>
        <v>16.1</v>
      </c>
      <c r="F9" s="15">
        <f>' B2级比赛 '!F9*5</f>
        <v>9.2</v>
      </c>
      <c r="G9" s="15">
        <f>' B2级比赛 '!G9*5</f>
        <v>7.66666666666665</v>
      </c>
      <c r="H9" s="13">
        <f>' B2级比赛 '!H9*5</f>
        <v>134.166666666667</v>
      </c>
      <c r="I9" s="14">
        <f>' B2级比赛 '!I9*5</f>
        <v>6.38888888888889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9"/>
      <c r="BO9" s="19"/>
      <c r="BP9" s="19"/>
      <c r="BQ9" s="19"/>
      <c r="BR9" s="19"/>
      <c r="BS9" s="19"/>
      <c r="BT9" s="19"/>
      <c r="BU9" s="19"/>
    </row>
    <row r="10" spans="1:73">
      <c r="A10" s="11" t="s">
        <v>72</v>
      </c>
      <c r="B10" s="12">
        <f>' B2级比赛 '!B10*5</f>
        <v>50</v>
      </c>
      <c r="C10" s="12">
        <f>' B2级比赛 '!C10*5</f>
        <v>35</v>
      </c>
      <c r="D10" s="15">
        <f>' B2级比赛 '!D10*5</f>
        <v>25</v>
      </c>
      <c r="E10" s="15">
        <f>' B2级比赛 '!E10*5</f>
        <v>17.5</v>
      </c>
      <c r="F10" s="15">
        <f>' B2级比赛 '!F10*5</f>
        <v>10</v>
      </c>
      <c r="G10" s="15">
        <f>' B2级比赛 '!G10*5</f>
        <v>8.33333333333333</v>
      </c>
      <c r="H10" s="15">
        <f>' B2级比赛 '!H10*5</f>
        <v>7.14285714285715</v>
      </c>
      <c r="I10" s="13">
        <f>' B2级比赛 '!I10*5</f>
        <v>152.97619047619</v>
      </c>
      <c r="J10" s="14">
        <f>' B2级比赛 '!J10*5</f>
        <v>6.37400793650794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9"/>
      <c r="BO10" s="19"/>
      <c r="BP10" s="19"/>
      <c r="BQ10" s="19"/>
      <c r="BR10" s="19"/>
      <c r="BS10" s="19"/>
      <c r="BT10" s="19"/>
      <c r="BU10" s="19"/>
    </row>
    <row r="11" spans="1:73">
      <c r="A11" s="11" t="s">
        <v>73</v>
      </c>
      <c r="B11" s="12">
        <f>' B2级比赛 '!B11*5</f>
        <v>56</v>
      </c>
      <c r="C11" s="12">
        <f>' B2级比赛 '!C11*5</f>
        <v>39.2</v>
      </c>
      <c r="D11" s="15">
        <f>' B2级比赛 '!D11*5</f>
        <v>28</v>
      </c>
      <c r="E11" s="15">
        <f>' B2级比赛 '!E11*5</f>
        <v>19.6</v>
      </c>
      <c r="F11" s="15">
        <f>' B2级比赛 '!F11*5</f>
        <v>11.2</v>
      </c>
      <c r="G11" s="15">
        <f>' B2级比赛 '!G11*5</f>
        <v>9.33333333333333</v>
      </c>
      <c r="H11" s="15">
        <f>' B2级比赛 '!H11*5</f>
        <v>8</v>
      </c>
      <c r="I11" s="15">
        <f>' B2级比赛 '!I11*5</f>
        <v>7</v>
      </c>
      <c r="J11" s="13">
        <f>' B2级比赛 '!J11*5</f>
        <v>178.333333333333</v>
      </c>
      <c r="K11" s="14">
        <f>' B2级比赛 '!K11*5</f>
        <v>6.36904761904762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9"/>
      <c r="BO11" s="19"/>
      <c r="BP11" s="19"/>
      <c r="BQ11" s="19"/>
      <c r="BR11" s="19"/>
      <c r="BS11" s="19"/>
      <c r="BT11" s="19"/>
      <c r="BU11" s="19"/>
    </row>
    <row r="12" spans="1:73">
      <c r="A12" s="11" t="s">
        <v>74</v>
      </c>
      <c r="B12" s="12">
        <f>' B2级比赛 '!B12*5</f>
        <v>60</v>
      </c>
      <c r="C12" s="12">
        <f>' B2级比赛 '!C12*5</f>
        <v>42</v>
      </c>
      <c r="D12" s="15">
        <f>' B2级比赛 '!D12*5</f>
        <v>30</v>
      </c>
      <c r="E12" s="15">
        <f>' B2级比赛 '!E12*5</f>
        <v>21</v>
      </c>
      <c r="F12" s="15">
        <f>' B2级比赛 '!F12*5</f>
        <v>12</v>
      </c>
      <c r="G12" s="15">
        <f>' B2级比赛 '!G12*5</f>
        <v>10</v>
      </c>
      <c r="H12" s="15">
        <f>' B2级比赛 '!H12*5</f>
        <v>8.57142857142857</v>
      </c>
      <c r="I12" s="15">
        <f>' B2级比赛 '!I12*5</f>
        <v>7.5</v>
      </c>
      <c r="J12" s="15">
        <f>' B2级比赛 '!J12*5</f>
        <v>6.66666666666665</v>
      </c>
      <c r="K12" s="13">
        <f>' B2级比赛 '!K12*5</f>
        <v>197.738095238095</v>
      </c>
      <c r="L12" s="14">
        <f>' B2级比赛 '!L12*5</f>
        <v>6.37864823348694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9"/>
      <c r="BO12" s="19"/>
      <c r="BP12" s="19"/>
      <c r="BQ12" s="19"/>
      <c r="BR12" s="19"/>
      <c r="BS12" s="19"/>
      <c r="BT12" s="19"/>
      <c r="BU12" s="19"/>
    </row>
    <row r="13" spans="1:73">
      <c r="A13" s="11" t="s">
        <v>75</v>
      </c>
      <c r="B13" s="12">
        <f>' B2级比赛 '!B13*5</f>
        <v>64</v>
      </c>
      <c r="C13" s="12">
        <f>' B2级比赛 '!C13*5</f>
        <v>44.8</v>
      </c>
      <c r="D13" s="15">
        <f>' B2级比赛 '!D13*5</f>
        <v>32</v>
      </c>
      <c r="E13" s="15">
        <f>' B2级比赛 '!E13*5</f>
        <v>22.4</v>
      </c>
      <c r="F13" s="15">
        <f>' B2级比赛 '!F13*5</f>
        <v>12.8</v>
      </c>
      <c r="G13" s="15">
        <f>' B2级比赛 '!G13*5</f>
        <v>10.6666666666667</v>
      </c>
      <c r="H13" s="15">
        <f>' B2级比赛 '!H13*5</f>
        <v>9.14285714285714</v>
      </c>
      <c r="I13" s="15">
        <f>' B2级比赛 '!I13*5</f>
        <v>8</v>
      </c>
      <c r="J13" s="15">
        <f>' B2级比赛 '!J13*5</f>
        <v>7.11111111111111</v>
      </c>
      <c r="K13" s="15">
        <f>' B2级比赛 '!K13*5</f>
        <v>6.4</v>
      </c>
      <c r="L13" s="13">
        <f>' B2级比赛 '!L13*5</f>
        <v>217.320634920635</v>
      </c>
      <c r="M13" s="14">
        <f>' B2级比赛 '!M13*5</f>
        <v>6.39178338001867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9"/>
      <c r="BO13" s="19"/>
      <c r="BP13" s="19"/>
      <c r="BQ13" s="19"/>
      <c r="BR13" s="19"/>
      <c r="BS13" s="19"/>
      <c r="BT13" s="19"/>
      <c r="BU13" s="19"/>
    </row>
    <row r="14" spans="1:73">
      <c r="A14" s="11" t="s">
        <v>76</v>
      </c>
      <c r="B14" s="12">
        <f>' B2级比赛 '!B14*5</f>
        <v>70</v>
      </c>
      <c r="C14" s="12">
        <f>' B2级比赛 '!C14*5</f>
        <v>49</v>
      </c>
      <c r="D14" s="15">
        <f>' B2级比赛 '!D14*5</f>
        <v>35</v>
      </c>
      <c r="E14" s="15">
        <f>' B2级比赛 '!E14*5</f>
        <v>24.5</v>
      </c>
      <c r="F14" s="15">
        <f>' B2级比赛 '!F14*5</f>
        <v>14</v>
      </c>
      <c r="G14" s="15">
        <f>' B2级比赛 '!G14*5</f>
        <v>11.6666666666667</v>
      </c>
      <c r="H14" s="15">
        <f>' B2级比赛 '!H14*5</f>
        <v>10</v>
      </c>
      <c r="I14" s="15">
        <f>' B2级比赛 '!I14*5</f>
        <v>8.75</v>
      </c>
      <c r="J14" s="15">
        <f>' B2级比赛 '!J14*5</f>
        <v>7.77777777777778</v>
      </c>
      <c r="K14" s="15">
        <f>' B2级比赛 '!K14*5</f>
        <v>7</v>
      </c>
      <c r="L14" s="15">
        <f>' B2级比赛 '!L14*5</f>
        <v>6.36363636363635</v>
      </c>
      <c r="M14" s="13">
        <f>' B2级比赛 '!M14*5</f>
        <v>244.058080808081</v>
      </c>
      <c r="N14" s="14">
        <f>' B2级比赛 '!N14*5</f>
        <v>6.42258107389686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9"/>
      <c r="BO14" s="19"/>
      <c r="BP14" s="19"/>
      <c r="BQ14" s="19"/>
      <c r="BR14" s="19"/>
      <c r="BS14" s="19"/>
      <c r="BT14" s="19"/>
      <c r="BU14" s="19"/>
    </row>
    <row r="15" spans="1:74">
      <c r="A15" s="11" t="s">
        <v>77</v>
      </c>
      <c r="B15" s="12">
        <f>' B2级比赛 '!B15*5</f>
        <v>75</v>
      </c>
      <c r="C15" s="12">
        <f>' B2级比赛 '!C15*5</f>
        <v>52.5</v>
      </c>
      <c r="D15" s="15">
        <f>' B2级比赛 '!D15*5</f>
        <v>37.5</v>
      </c>
      <c r="E15" s="15">
        <f>' B2级比赛 '!E15*5</f>
        <v>26.25</v>
      </c>
      <c r="F15" s="15">
        <f>' B2级比赛 '!F15*5</f>
        <v>15</v>
      </c>
      <c r="G15" s="15">
        <f>' B2级比赛 '!G15*5</f>
        <v>12.5</v>
      </c>
      <c r="H15" s="15">
        <f>' B2级比赛 '!H15*5</f>
        <v>10.7142857142857</v>
      </c>
      <c r="I15" s="15">
        <f>' B2级比赛 '!I15*5</f>
        <v>9.375</v>
      </c>
      <c r="J15" s="15">
        <f>' B2级比赛 '!J15*5</f>
        <v>8.33333333333333</v>
      </c>
      <c r="K15" s="15">
        <f>' B2级比赛 '!K15*5</f>
        <v>7.5</v>
      </c>
      <c r="L15" s="15">
        <f>' B2级比赛 '!L15*5</f>
        <v>6.81818181818182</v>
      </c>
      <c r="M15" s="15">
        <f>' B2级比赛 '!M15*5</f>
        <v>6.25</v>
      </c>
      <c r="N15" s="13">
        <f>' B2级比赛 '!N15*5</f>
        <v>267.740800865801</v>
      </c>
      <c r="O15" s="14">
        <f>' B2级比赛 '!O15*5</f>
        <v>6.53026343575124</v>
      </c>
      <c r="P15" s="15"/>
      <c r="Q15" s="15"/>
      <c r="R15" s="15"/>
      <c r="S15" s="15"/>
      <c r="T15" s="15">
        <f>' B2级比赛 '!T15*5</f>
        <v>0</v>
      </c>
      <c r="U15" s="15"/>
      <c r="V15" s="15">
        <f>' B2级比赛 '!V15*5</f>
        <v>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9"/>
      <c r="BO15" s="19"/>
      <c r="BP15" s="19"/>
      <c r="BQ15" s="19"/>
      <c r="BR15" s="19"/>
      <c r="BS15" s="19"/>
      <c r="BT15" s="19"/>
      <c r="BU15" s="19"/>
      <c r="BV15" s="24"/>
    </row>
    <row r="16" spans="1:73">
      <c r="A16" s="11" t="s">
        <v>78</v>
      </c>
      <c r="B16" s="12">
        <f>' B2级比赛 '!B16*5</f>
        <v>80</v>
      </c>
      <c r="C16" s="12">
        <f>' B2级比赛 '!C16*5</f>
        <v>56</v>
      </c>
      <c r="D16" s="15">
        <f>' B2级比赛 '!D16*5</f>
        <v>40</v>
      </c>
      <c r="E16" s="15">
        <f>' B2级比赛 '!E16*5</f>
        <v>28</v>
      </c>
      <c r="F16" s="15">
        <f>' B2级比赛 '!F16*5</f>
        <v>16</v>
      </c>
      <c r="G16" s="15">
        <f>' B2级比赛 '!G16*5</f>
        <v>13.3333333333333</v>
      </c>
      <c r="H16" s="15">
        <f>' B2级比赛 '!H16*5</f>
        <v>11.4285714285714</v>
      </c>
      <c r="I16" s="15">
        <f>' B2级比赛 '!I16*5</f>
        <v>10</v>
      </c>
      <c r="J16" s="15">
        <f>' B2级比赛 '!J16*5</f>
        <v>8.88888888888889</v>
      </c>
      <c r="K16" s="15">
        <f>' B2级比赛 '!K16*5</f>
        <v>8</v>
      </c>
      <c r="L16" s="15">
        <f>' B2级比赛 '!L16*5</f>
        <v>7.27272727272727</v>
      </c>
      <c r="M16" s="15">
        <f>' B2级比赛 '!M16*5</f>
        <v>6.66666666666667</v>
      </c>
      <c r="N16" s="15">
        <f>' B2级比赛 '!N16*5</f>
        <v>6.15384615384615</v>
      </c>
      <c r="O16" s="13">
        <f>' B2级比赛 '!O16*5</f>
        <v>291.744033744034</v>
      </c>
      <c r="P16" s="14">
        <f>' B2级比赛 '!P16*5</f>
        <v>6.63054622145531</v>
      </c>
      <c r="Q16" s="15"/>
      <c r="R16" s="15"/>
      <c r="S16" s="15"/>
      <c r="T16" s="15">
        <f>' B2级比赛 '!T16*5</f>
        <v>0</v>
      </c>
      <c r="U16" s="15"/>
      <c r="V16" s="15">
        <f>' B2级比赛 '!V16*5</f>
        <v>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9"/>
      <c r="BO16" s="19"/>
      <c r="BP16" s="19"/>
      <c r="BQ16" s="19"/>
      <c r="BR16" s="19"/>
      <c r="BS16" s="19"/>
      <c r="BT16" s="19"/>
      <c r="BU16" s="19"/>
    </row>
    <row r="17" spans="1:73">
      <c r="A17" s="11" t="s">
        <v>79</v>
      </c>
      <c r="B17" s="12">
        <f>' B2级比赛 '!B17*5</f>
        <v>85</v>
      </c>
      <c r="C17" s="12">
        <f>' B2级比赛 '!C17*5</f>
        <v>59.5</v>
      </c>
      <c r="D17" s="15">
        <f>' B2级比赛 '!D17*5</f>
        <v>42.5</v>
      </c>
      <c r="E17" s="15">
        <f>' B2级比赛 '!E17*5</f>
        <v>29.75</v>
      </c>
      <c r="F17" s="15">
        <f>' B2级比赛 '!F17*5</f>
        <v>17</v>
      </c>
      <c r="G17" s="15">
        <f>' B2级比赛 '!G17*5</f>
        <v>14.1666666666667</v>
      </c>
      <c r="H17" s="15">
        <f>' B2级比赛 '!H17*5</f>
        <v>12.1428571428571</v>
      </c>
      <c r="I17" s="15">
        <f>' B2级比赛 '!I17*5</f>
        <v>10.625</v>
      </c>
      <c r="J17" s="15">
        <f>' B2级比赛 '!J17*5</f>
        <v>9.44444444444444</v>
      </c>
      <c r="K17" s="15">
        <f>' B2级比赛 '!K17*5</f>
        <v>8.5</v>
      </c>
      <c r="L17" s="15">
        <f>' B2级比赛 '!L17*5</f>
        <v>7.72727272727273</v>
      </c>
      <c r="M17" s="15">
        <f>' B2级比赛 '!M17*5</f>
        <v>7.08333333333333</v>
      </c>
      <c r="N17" s="15">
        <f>' B2级比赛 '!N17*5</f>
        <v>6.53846153846154</v>
      </c>
      <c r="O17" s="15">
        <f>' B2级比赛 '!O17*5</f>
        <v>6.07142857142855</v>
      </c>
      <c r="P17" s="13">
        <f>' B2级比赛 '!P17*5</f>
        <v>316.049464424464</v>
      </c>
      <c r="Q17" s="14">
        <f>' B2级比赛 '!Q17*5</f>
        <v>6.58436384217634</v>
      </c>
      <c r="R17" s="15"/>
      <c r="S17" s="15"/>
      <c r="T17" s="15">
        <f>' B2级比赛 '!T17*5</f>
        <v>0</v>
      </c>
      <c r="U17" s="15"/>
      <c r="V17" s="15">
        <f>' B2级比赛 '!V17*5</f>
        <v>0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9"/>
      <c r="BO17" s="19"/>
      <c r="BP17" s="19"/>
      <c r="BQ17" s="19"/>
      <c r="BR17" s="19"/>
      <c r="BS17" s="19"/>
      <c r="BT17" s="19"/>
      <c r="BU17" s="19"/>
    </row>
    <row r="18" spans="1:73">
      <c r="A18" s="11" t="s">
        <v>80</v>
      </c>
      <c r="B18" s="12">
        <f>' B2级比赛 '!B18*5</f>
        <v>89</v>
      </c>
      <c r="C18" s="12">
        <f>' B2级比赛 '!C18*5</f>
        <v>62.3</v>
      </c>
      <c r="D18" s="15">
        <f>' B2级比赛 '!D18*5</f>
        <v>44.5</v>
      </c>
      <c r="E18" s="15">
        <f>' B2级比赛 '!E18*5</f>
        <v>31.15</v>
      </c>
      <c r="F18" s="15">
        <f>' B2级比赛 '!F18*5</f>
        <v>17.8</v>
      </c>
      <c r="G18" s="15">
        <f>' B2级比赛 '!G18*5</f>
        <v>14.8333333333333</v>
      </c>
      <c r="H18" s="15">
        <f>' B2级比赛 '!H18*5</f>
        <v>12.7142857142857</v>
      </c>
      <c r="I18" s="15">
        <f>' B2级比赛 '!I18*5</f>
        <v>11.125</v>
      </c>
      <c r="J18" s="15">
        <f>' B2级比赛 '!J18*5</f>
        <v>9.88888888888889</v>
      </c>
      <c r="K18" s="15">
        <f>' B2级比赛 '!K18*5</f>
        <v>8.9</v>
      </c>
      <c r="L18" s="15">
        <f>' B2级比赛 '!L18*5</f>
        <v>8.09090909090909</v>
      </c>
      <c r="M18" s="15">
        <f>' B2级比赛 '!M18*5</f>
        <v>7.41666666666667</v>
      </c>
      <c r="N18" s="15">
        <f>' B2级比赛 '!N18*5</f>
        <v>6.84615384615385</v>
      </c>
      <c r="O18" s="15">
        <f>' B2级比赛 '!O18*5</f>
        <v>6.35714285714286</v>
      </c>
      <c r="P18" s="12">
        <f>' B2级比赛 '!P18*5</f>
        <v>5.93333333333335</v>
      </c>
      <c r="Q18" s="13">
        <f>' B2级比赛 '!Q18*5</f>
        <v>336.855713730714</v>
      </c>
      <c r="R18" s="14">
        <f>' B2级比赛 '!R18*5</f>
        <v>6.60501399471988</v>
      </c>
      <c r="S18" s="12"/>
      <c r="T18" s="12">
        <f>' B2级比赛 '!T18*5</f>
        <v>0</v>
      </c>
      <c r="U18" s="12"/>
      <c r="V18" s="12">
        <f>' B2级比赛 '!V18*5</f>
        <v>0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9"/>
      <c r="BO18" s="19"/>
      <c r="BP18" s="19"/>
      <c r="BQ18" s="19"/>
      <c r="BR18" s="19"/>
      <c r="BS18" s="19"/>
      <c r="BT18" s="19"/>
      <c r="BU18" s="19"/>
    </row>
    <row r="19" spans="1:73">
      <c r="A19" s="11" t="s">
        <v>81</v>
      </c>
      <c r="B19" s="12">
        <f>' B2级比赛 '!B19*5</f>
        <v>92.5</v>
      </c>
      <c r="C19" s="12">
        <f>' B2级比赛 '!C19*5</f>
        <v>64.75</v>
      </c>
      <c r="D19" s="15">
        <f>' B2级比赛 '!D19*5</f>
        <v>46.25</v>
      </c>
      <c r="E19" s="15">
        <f>' B2级比赛 '!E19*5</f>
        <v>32.375</v>
      </c>
      <c r="F19" s="15">
        <f>' B2级比赛 '!F19*5</f>
        <v>18.5</v>
      </c>
      <c r="G19" s="15">
        <f>' B2级比赛 '!G19*5</f>
        <v>15.4166666666667</v>
      </c>
      <c r="H19" s="15">
        <f>' B2级比赛 '!H19*5</f>
        <v>13.2142857142857</v>
      </c>
      <c r="I19" s="15">
        <f>' B2级比赛 '!I19*5</f>
        <v>11.5625</v>
      </c>
      <c r="J19" s="15">
        <f>' B2级比赛 '!J19*5</f>
        <v>10.2777777777778</v>
      </c>
      <c r="K19" s="15">
        <f>' B2级比赛 '!K19*5</f>
        <v>9.25</v>
      </c>
      <c r="L19" s="15">
        <f>' B2级比赛 '!L19*5</f>
        <v>8.40909090909091</v>
      </c>
      <c r="M19" s="15">
        <f>' B2级比赛 '!M19*5</f>
        <v>7.70833333333333</v>
      </c>
      <c r="N19" s="15">
        <f>' B2级比赛 '!N19*5</f>
        <v>7.11538461538462</v>
      </c>
      <c r="O19" s="15">
        <f>' B2级比赛 '!O19*5</f>
        <v>6.60714285714286</v>
      </c>
      <c r="P19" s="12">
        <f>' B2级比赛 '!P19*5</f>
        <v>6.16666666666667</v>
      </c>
      <c r="Q19" s="12">
        <f>' B2级比赛 '!Q19*5</f>
        <v>5.78125</v>
      </c>
      <c r="R19" s="13">
        <f>' B2级比赛 '!R19*5</f>
        <v>355.884098540349</v>
      </c>
      <c r="S19" s="14">
        <f>' B2级比赛 '!S19*5</f>
        <v>6.59044626926572</v>
      </c>
      <c r="T19" s="12">
        <f>' B2级比赛 '!T19*5</f>
        <v>0</v>
      </c>
      <c r="U19" s="12"/>
      <c r="V19" s="12">
        <f>' B2级比赛 '!V19*5</f>
        <v>0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9"/>
      <c r="BO19" s="19"/>
      <c r="BP19" s="19"/>
      <c r="BQ19" s="19"/>
      <c r="BR19" s="19"/>
      <c r="BS19" s="19"/>
      <c r="BT19" s="19"/>
      <c r="BU19" s="19"/>
    </row>
    <row r="20" spans="1:73">
      <c r="A20" s="11" t="s">
        <v>82</v>
      </c>
      <c r="B20" s="12">
        <f>' B2级比赛 '!B20*5</f>
        <v>100</v>
      </c>
      <c r="C20" s="12">
        <f>' B2级比赛 '!C20*5</f>
        <v>70</v>
      </c>
      <c r="D20" s="15">
        <f>' B2级比赛 '!D20*5</f>
        <v>50</v>
      </c>
      <c r="E20" s="15">
        <f>' B2级比赛 '!E20*5</f>
        <v>35</v>
      </c>
      <c r="F20" s="15">
        <f>' B2级比赛 '!F20*5</f>
        <v>20</v>
      </c>
      <c r="G20" s="15">
        <f>' B2级比赛 '!G20*5</f>
        <v>16.6666666666667</v>
      </c>
      <c r="H20" s="15">
        <f>' B2级比赛 '!H20*5</f>
        <v>14.2857142857143</v>
      </c>
      <c r="I20" s="15">
        <f>' B2级比赛 '!I20*5</f>
        <v>12.5</v>
      </c>
      <c r="J20" s="15">
        <f>' B2级比赛 '!J20*5</f>
        <v>11.1111111111111</v>
      </c>
      <c r="K20" s="15">
        <f>' B2级比赛 '!K20*5</f>
        <v>10</v>
      </c>
      <c r="L20" s="15">
        <f>' B2级比赛 '!L20*5</f>
        <v>9.09090909090909</v>
      </c>
      <c r="M20" s="15">
        <f>' B2级比赛 '!M20*5</f>
        <v>8.33333333333333</v>
      </c>
      <c r="N20" s="15">
        <f>' B2级比赛 '!N20*5</f>
        <v>7.69230769230769</v>
      </c>
      <c r="O20" s="15">
        <f>' B2级比赛 '!O20*5</f>
        <v>7.14285714285714</v>
      </c>
      <c r="P20" s="12">
        <f>' B2级比赛 '!P20*5</f>
        <v>6.66666666666667</v>
      </c>
      <c r="Q20" s="12">
        <f>' B2级比赛 '!Q20*5</f>
        <v>6.25</v>
      </c>
      <c r="R20" s="12">
        <f>' B2级比赛 '!R20*5</f>
        <v>5.88235294117645</v>
      </c>
      <c r="S20" s="13">
        <f>' B2级比赛 '!S20*5</f>
        <v>390.621918930742</v>
      </c>
      <c r="T20" s="14">
        <f>' B2级比赛 '!T20*5</f>
        <v>6.7348606712197</v>
      </c>
      <c r="U20" s="12"/>
      <c r="V20" s="12">
        <f>' B2级比赛 '!V20*5</f>
        <v>0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9"/>
      <c r="BO20" s="19"/>
      <c r="BP20" s="19"/>
      <c r="BQ20" s="19"/>
      <c r="BR20" s="19"/>
      <c r="BS20" s="19"/>
      <c r="BT20" s="19"/>
      <c r="BU20" s="19"/>
    </row>
    <row r="21" spans="1:73">
      <c r="A21" s="11" t="s">
        <v>83</v>
      </c>
      <c r="B21" s="12">
        <f>' B2级比赛 '!B21*5</f>
        <v>105</v>
      </c>
      <c r="C21" s="12">
        <f>' B2级比赛 '!C21*5</f>
        <v>73.5</v>
      </c>
      <c r="D21" s="15">
        <f>' B2级比赛 '!D21*5</f>
        <v>52.5</v>
      </c>
      <c r="E21" s="15">
        <f>' B2级比赛 '!E21*5</f>
        <v>36.75</v>
      </c>
      <c r="F21" s="15">
        <f>' B2级比赛 '!F21*5</f>
        <v>21</v>
      </c>
      <c r="G21" s="15">
        <f>' B2级比赛 '!G21*5</f>
        <v>17.5</v>
      </c>
      <c r="H21" s="15">
        <f>' B2级比赛 '!H21*5</f>
        <v>15</v>
      </c>
      <c r="I21" s="15">
        <f>' B2级比赛 '!I21*5</f>
        <v>13.125</v>
      </c>
      <c r="J21" s="15">
        <f>' B2级比赛 '!J21*5</f>
        <v>11.6666666666667</v>
      </c>
      <c r="K21" s="15">
        <f>' B2级比赛 '!K21*5</f>
        <v>10.5</v>
      </c>
      <c r="L21" s="15">
        <f>' B2级比赛 '!L21*5</f>
        <v>9.54545454545455</v>
      </c>
      <c r="M21" s="15">
        <f>' B2级比赛 '!M21*5</f>
        <v>8.75</v>
      </c>
      <c r="N21" s="15">
        <f>' B2级比赛 '!N21*5</f>
        <v>8.07692307692308</v>
      </c>
      <c r="O21" s="15">
        <f>' B2级比赛 '!O21*5</f>
        <v>7.5</v>
      </c>
      <c r="P21" s="12">
        <f>' B2级比赛 '!P21*5</f>
        <v>7</v>
      </c>
      <c r="Q21" s="12">
        <f>' B2级比赛 '!Q21*5</f>
        <v>6.5625</v>
      </c>
      <c r="R21" s="12">
        <f>' B2级比赛 '!R21*5</f>
        <v>6.17647058823529</v>
      </c>
      <c r="S21" s="12">
        <f>' B2级比赛 '!S21*5</f>
        <v>5.83333333333335</v>
      </c>
      <c r="T21" s="13">
        <f>' B2级比赛 '!T21*5</f>
        <v>415.986348210613</v>
      </c>
      <c r="U21" s="14">
        <f>' B2级比赛 '!U21*5</f>
        <v>6.81944833132152</v>
      </c>
      <c r="V21" s="12">
        <f>' B2级比赛 '!V21*5</f>
        <v>0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9"/>
      <c r="BO21" s="19"/>
      <c r="BP21" s="19"/>
      <c r="BQ21" s="19"/>
      <c r="BR21" s="19"/>
      <c r="BS21" s="19"/>
      <c r="BT21" s="19"/>
      <c r="BU21" s="19"/>
    </row>
    <row r="22" spans="1:110">
      <c r="A22" s="11" t="s">
        <v>84</v>
      </c>
      <c r="B22" s="12">
        <f>' B2级比赛 '!B22*5</f>
        <v>110</v>
      </c>
      <c r="C22" s="12">
        <f>' B2级比赛 '!C22*5</f>
        <v>77</v>
      </c>
      <c r="D22" s="15">
        <f>' B2级比赛 '!D22*5</f>
        <v>55</v>
      </c>
      <c r="E22" s="15">
        <f>' B2级比赛 '!E22*5</f>
        <v>38.5</v>
      </c>
      <c r="F22" s="15">
        <f>' B2级比赛 '!F22*5</f>
        <v>22</v>
      </c>
      <c r="G22" s="15">
        <f>' B2级比赛 '!G22*5</f>
        <v>18.3333333333333</v>
      </c>
      <c r="H22" s="15">
        <f>' B2级比赛 '!H22*5</f>
        <v>15.7142857142857</v>
      </c>
      <c r="I22" s="15">
        <f>' B2级比赛 '!I22*5</f>
        <v>13.75</v>
      </c>
      <c r="J22" s="15">
        <f>' B2级比赛 '!J22*5</f>
        <v>12.2222222222222</v>
      </c>
      <c r="K22" s="15">
        <f>' B2级比赛 '!K22*5</f>
        <v>11</v>
      </c>
      <c r="L22" s="15">
        <f>' B2级比赛 '!L22*5</f>
        <v>10</v>
      </c>
      <c r="M22" s="15">
        <f>' B2级比赛 '!M22*5</f>
        <v>9.16666666666667</v>
      </c>
      <c r="N22" s="15">
        <f>' B2级比赛 '!N22*5</f>
        <v>8.46153846153846</v>
      </c>
      <c r="O22" s="15">
        <f>' B2级比赛 '!O22*5</f>
        <v>7.85714285714286</v>
      </c>
      <c r="P22" s="12">
        <f>' B2级比赛 '!P22*5</f>
        <v>7.33333333333333</v>
      </c>
      <c r="Q22" s="12">
        <f>' B2级比赛 '!Q22*5</f>
        <v>6.875</v>
      </c>
      <c r="R22" s="12">
        <f>' B2级比赛 '!R22*5</f>
        <v>6.47058823529412</v>
      </c>
      <c r="S22" s="12">
        <f>' B2级比赛 '!S22*5</f>
        <v>6.11111111111111</v>
      </c>
      <c r="T22" s="12">
        <f>' B2级比赛 '!T22*5</f>
        <v>5.78947368421055</v>
      </c>
      <c r="U22" s="13">
        <f>' B2级比赛 '!U22*5</f>
        <v>441.584695619138</v>
      </c>
      <c r="V22" s="14">
        <f>' B2级比赛 '!V22*5</f>
        <v>6.89976086904904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23"/>
      <c r="BO22" s="23"/>
      <c r="BP22" s="23"/>
      <c r="BQ22" s="23"/>
      <c r="BR22" s="23"/>
      <c r="BS22" s="23"/>
      <c r="BT22" s="23"/>
      <c r="BU22" s="2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>
      <c r="A23" s="11" t="s">
        <v>85</v>
      </c>
      <c r="B23" s="12">
        <f>' B2级比赛 '!B23*5</f>
        <v>115</v>
      </c>
      <c r="C23" s="12">
        <f>' B2级比赛 '!C23*5</f>
        <v>80.5</v>
      </c>
      <c r="D23" s="15">
        <f>' B2级比赛 '!D23*5</f>
        <v>57.5</v>
      </c>
      <c r="E23" s="15">
        <f>' B2级比赛 '!E23*5</f>
        <v>40.25</v>
      </c>
      <c r="F23" s="15">
        <f>' B2级比赛 '!F23*5</f>
        <v>23</v>
      </c>
      <c r="G23" s="15">
        <f>' B2级比赛 '!G23*5</f>
        <v>19.1666666666667</v>
      </c>
      <c r="H23" s="15">
        <f>' B2级比赛 '!H23*5</f>
        <v>16.4285714285714</v>
      </c>
      <c r="I23" s="15">
        <f>' B2级比赛 '!I23*5</f>
        <v>14.375</v>
      </c>
      <c r="J23" s="15">
        <f>' B2级比赛 '!J23*5</f>
        <v>12.7777777777778</v>
      </c>
      <c r="K23" s="15">
        <f>' B2级比赛 '!K23*5</f>
        <v>11.5</v>
      </c>
      <c r="L23" s="15">
        <f>' B2级比赛 '!L23*5</f>
        <v>10.4545454545455</v>
      </c>
      <c r="M23" s="15">
        <f>' B2级比赛 '!M23*5</f>
        <v>9.58333333333333</v>
      </c>
      <c r="N23" s="15">
        <f>' B2级比赛 '!N23*5</f>
        <v>8.84615384615385</v>
      </c>
      <c r="O23" s="15">
        <f>' B2级比赛 '!O23*5</f>
        <v>8.21428571428571</v>
      </c>
      <c r="P23" s="12">
        <f>' B2级比赛 '!P23*5</f>
        <v>7.66666666666667</v>
      </c>
      <c r="Q23" s="12">
        <f>' B2级比赛 '!Q23*5</f>
        <v>7.1875</v>
      </c>
      <c r="R23" s="12">
        <f>' B2级比赛 '!R23*5</f>
        <v>6.76470588235294</v>
      </c>
      <c r="S23" s="12">
        <f>' B2级比赛 '!S23*5</f>
        <v>6.38888888888889</v>
      </c>
      <c r="T23" s="12">
        <f>' B2级比赛 '!T23*5</f>
        <v>6.05263157894737</v>
      </c>
      <c r="U23" s="12">
        <f>' B2级比赛 '!U23*5</f>
        <v>5.75</v>
      </c>
      <c r="V23" s="13">
        <f>' B2级比赛 '!V23*5</f>
        <v>467.40672723819</v>
      </c>
      <c r="W23" s="14">
        <f>' B2级比赛 '!W23*5</f>
        <v>6.87362834173809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23"/>
      <c r="BO23" s="23"/>
      <c r="BP23" s="23"/>
      <c r="BQ23" s="23"/>
      <c r="BR23" s="23"/>
      <c r="BS23" s="23"/>
      <c r="BT23" s="23"/>
      <c r="BU23" s="2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>
      <c r="A24" s="11" t="s">
        <v>86</v>
      </c>
      <c r="B24" s="12">
        <f>' B2级比赛 '!B24*5</f>
        <v>120</v>
      </c>
      <c r="C24" s="12">
        <f>' B2级比赛 '!C24*5</f>
        <v>84</v>
      </c>
      <c r="D24" s="15">
        <f>' B2级比赛 '!D24*5</f>
        <v>60</v>
      </c>
      <c r="E24" s="15">
        <f>' B2级比赛 '!E24*5</f>
        <v>42</v>
      </c>
      <c r="F24" s="15">
        <f>' B2级比赛 '!F24*5</f>
        <v>24</v>
      </c>
      <c r="G24" s="15">
        <f>' B2级比赛 '!G24*5</f>
        <v>20</v>
      </c>
      <c r="H24" s="15">
        <f>' B2级比赛 '!H24*5</f>
        <v>17.1428571428571</v>
      </c>
      <c r="I24" s="15">
        <f>' B2级比赛 '!I24*5</f>
        <v>15</v>
      </c>
      <c r="J24" s="15">
        <f>' B2级比赛 '!J24*5</f>
        <v>13.3333333333333</v>
      </c>
      <c r="K24" s="15">
        <f>' B2级比赛 '!K24*5</f>
        <v>12</v>
      </c>
      <c r="L24" s="15">
        <f>' B2级比赛 '!L24*5</f>
        <v>10.9090909090909</v>
      </c>
      <c r="M24" s="15">
        <f>' B2级比赛 '!M24*5</f>
        <v>10</v>
      </c>
      <c r="N24" s="15">
        <f>' B2级比赛 '!N24*5</f>
        <v>9.23076923076923</v>
      </c>
      <c r="O24" s="15">
        <f>' B2级比赛 '!O24*5</f>
        <v>8.57142857142857</v>
      </c>
      <c r="P24" s="12">
        <f>' B2级比赛 '!P24*5</f>
        <v>8</v>
      </c>
      <c r="Q24" s="12">
        <f>' B2级比赛 '!Q24*5</f>
        <v>7.5</v>
      </c>
      <c r="R24" s="12">
        <f>' B2级比赛 '!R24*5</f>
        <v>7.05882352941177</v>
      </c>
      <c r="S24" s="12">
        <f>' B2级比赛 '!S24*5</f>
        <v>6.66666666666667</v>
      </c>
      <c r="T24" s="12">
        <f>' B2级比赛 '!T24*5</f>
        <v>6.31578947368421</v>
      </c>
      <c r="U24" s="12">
        <f>' B2级比赛 '!U24*5</f>
        <v>6</v>
      </c>
      <c r="V24" s="12">
        <f>' B2级比赛 '!V24*5</f>
        <v>5.7142857142857</v>
      </c>
      <c r="W24" s="13">
        <f>' B2级比赛 '!W24*5</f>
        <v>493.443044571527</v>
      </c>
      <c r="X24" s="14">
        <f>' B2级比赛 '!X24*5</f>
        <v>6.9499020362187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>
        <f>' B2级比赛 '!AI24*5</f>
        <v>0</v>
      </c>
      <c r="AJ24" s="12"/>
      <c r="AK24" s="12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>
        <f>' B2级比赛 '!AV24*5</f>
        <v>0</v>
      </c>
      <c r="AW24" s="18">
        <f>' B2级比赛 '!AW24*5</f>
        <v>0</v>
      </c>
      <c r="AX24" s="18">
        <f>' B2级比赛 '!AX24*5</f>
        <v>0</v>
      </c>
      <c r="AY24" s="18">
        <f>' B2级比赛 '!AY24*5</f>
        <v>0</v>
      </c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23"/>
      <c r="BO24" s="23"/>
      <c r="BP24" s="23"/>
      <c r="BQ24" s="23"/>
      <c r="BR24" s="23"/>
      <c r="BS24" s="23"/>
      <c r="BT24" s="23"/>
      <c r="BU24" s="2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>
      <c r="A25" s="11" t="s">
        <v>87</v>
      </c>
      <c r="B25" s="12">
        <f>' B2级比赛 '!B25*5</f>
        <v>125</v>
      </c>
      <c r="C25" s="12">
        <f>' B2级比赛 '!C25*5</f>
        <v>87.5</v>
      </c>
      <c r="D25" s="15">
        <f>' B2级比赛 '!D25*5</f>
        <v>62.5</v>
      </c>
      <c r="E25" s="15">
        <f>' B2级比赛 '!E25*5</f>
        <v>43.75</v>
      </c>
      <c r="F25" s="15">
        <f>' B2级比赛 '!F25*5</f>
        <v>25</v>
      </c>
      <c r="G25" s="15">
        <f>' B2级比赛 '!G25*5</f>
        <v>20.8333333333333</v>
      </c>
      <c r="H25" s="15">
        <f>' B2级比赛 '!H25*5</f>
        <v>17.8571428571429</v>
      </c>
      <c r="I25" s="15">
        <f>' B2级比赛 '!I25*5</f>
        <v>15.625</v>
      </c>
      <c r="J25" s="15">
        <f>' B2级比赛 '!J25*5</f>
        <v>13.8888888888889</v>
      </c>
      <c r="K25" s="15">
        <f>' B2级比赛 '!K25*5</f>
        <v>12.5</v>
      </c>
      <c r="L25" s="15">
        <f>' B2级比赛 '!L25*5</f>
        <v>11.3636363636364</v>
      </c>
      <c r="M25" s="15">
        <f>' B2级比赛 '!M25*5</f>
        <v>10.4166666666667</v>
      </c>
      <c r="N25" s="15">
        <f>' B2级比赛 '!N25*5</f>
        <v>9.61538461538461</v>
      </c>
      <c r="O25" s="15">
        <f>' B2级比赛 '!O25*5</f>
        <v>8.92857142857143</v>
      </c>
      <c r="P25" s="12">
        <f>' B2级比赛 '!P25*5</f>
        <v>8.33333333333333</v>
      </c>
      <c r="Q25" s="12">
        <f>' B2级比赛 '!Q25*5</f>
        <v>7.8125</v>
      </c>
      <c r="R25" s="12">
        <f>' B2级比赛 '!R25*5</f>
        <v>7.35294117647059</v>
      </c>
      <c r="S25" s="12">
        <f>' B2级比赛 '!S25*5</f>
        <v>6.94444444444444</v>
      </c>
      <c r="T25" s="12">
        <f>' B2级比赛 '!T25*5</f>
        <v>6.57894736842105</v>
      </c>
      <c r="U25" s="12">
        <f>' B2级比赛 '!U25*5</f>
        <v>6.25</v>
      </c>
      <c r="V25" s="12">
        <f>' B2级比赛 '!V25*5</f>
        <v>5.95238095238095</v>
      </c>
      <c r="W25" s="12">
        <f>' B2级比赛 '!W25*5</f>
        <v>5.6818181818182</v>
      </c>
      <c r="X25" s="13">
        <f>' B2级比赛 '!X25*5</f>
        <v>519.684989610493</v>
      </c>
      <c r="Y25" s="14">
        <f>' B2级比赛 '!Y25*5</f>
        <v>6.92913319480657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>
        <f>' B2级比赛 '!AI25*5</f>
        <v>0</v>
      </c>
      <c r="AJ25" s="12"/>
      <c r="AK25" s="12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>
        <f>' B2级比赛 '!AV25*5</f>
        <v>0</v>
      </c>
      <c r="AW25" s="18">
        <f>' B2级比赛 '!AW25*5</f>
        <v>0</v>
      </c>
      <c r="AX25" s="18">
        <f>' B2级比赛 '!AX25*5</f>
        <v>0</v>
      </c>
      <c r="AY25" s="18">
        <f>' B2级比赛 '!AY25*5</f>
        <v>0</v>
      </c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23"/>
      <c r="BO25" s="23"/>
      <c r="BP25" s="23"/>
      <c r="BQ25" s="23"/>
      <c r="BR25" s="23"/>
      <c r="BS25" s="23"/>
      <c r="BT25" s="23"/>
      <c r="BU25" s="2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>
      <c r="A26" s="11" t="s">
        <v>88</v>
      </c>
      <c r="B26" s="12">
        <f>' B2级比赛 '!B26*5</f>
        <v>130</v>
      </c>
      <c r="C26" s="12">
        <f>' B2级比赛 '!C26*5</f>
        <v>91</v>
      </c>
      <c r="D26" s="15">
        <f>' B2级比赛 '!D26*5</f>
        <v>65</v>
      </c>
      <c r="E26" s="15">
        <f>' B2级比赛 '!E26*5</f>
        <v>45.5</v>
      </c>
      <c r="F26" s="15">
        <f>' B2级比赛 '!F26*5</f>
        <v>26</v>
      </c>
      <c r="G26" s="15">
        <f>' B2级比赛 '!G26*5</f>
        <v>21.6666666666667</v>
      </c>
      <c r="H26" s="15">
        <f>' B2级比赛 '!H26*5</f>
        <v>18.5714285714286</v>
      </c>
      <c r="I26" s="15">
        <f>' B2级比赛 '!I26*5</f>
        <v>16.25</v>
      </c>
      <c r="J26" s="15">
        <f>' B2级比赛 '!J26*5</f>
        <v>14.4444444444444</v>
      </c>
      <c r="K26" s="15">
        <f>' B2级比赛 '!K26*5</f>
        <v>13</v>
      </c>
      <c r="L26" s="15">
        <f>' B2级比赛 '!L26*5</f>
        <v>11.8181818181818</v>
      </c>
      <c r="M26" s="15">
        <f>' B2级比赛 '!M26*5</f>
        <v>10.8333333333333</v>
      </c>
      <c r="N26" s="15">
        <f>' B2级比赛 '!N26*5</f>
        <v>10</v>
      </c>
      <c r="O26" s="15">
        <f>' B2级比赛 '!O26*5</f>
        <v>9.28571428571429</v>
      </c>
      <c r="P26" s="12">
        <f>' B2级比赛 '!P26*5</f>
        <v>8.66666666666667</v>
      </c>
      <c r="Q26" s="12">
        <f>' B2级比赛 '!Q26*5</f>
        <v>8.125</v>
      </c>
      <c r="R26" s="12">
        <f>' B2级比赛 '!R26*5</f>
        <v>7.64705882352941</v>
      </c>
      <c r="S26" s="12">
        <f>' B2级比赛 '!S26*5</f>
        <v>7.22222222222222</v>
      </c>
      <c r="T26" s="12">
        <f>' B2级比赛 '!T26*5</f>
        <v>6.84210526315789</v>
      </c>
      <c r="U26" s="12">
        <f>' B2级比赛 '!U26*5</f>
        <v>6.5</v>
      </c>
      <c r="V26" s="12">
        <f>' B2级比赛 '!V26*5</f>
        <v>6.19047619047619</v>
      </c>
      <c r="W26" s="12">
        <f>' B2级比赛 '!W26*5</f>
        <v>5.90909090909091</v>
      </c>
      <c r="X26" s="12">
        <f>' B2级比赛 '!X26*5</f>
        <v>5.6521739130435</v>
      </c>
      <c r="Y26" s="13">
        <f>' B2级比赛 '!Y26*5</f>
        <v>546.124563107956</v>
      </c>
      <c r="Z26" s="14">
        <f>' B2级比赛 '!Z26*5</f>
        <v>7.00159696292251</v>
      </c>
      <c r="AA26" s="12"/>
      <c r="AB26" s="12"/>
      <c r="AC26" s="12"/>
      <c r="AD26" s="12"/>
      <c r="AE26" s="12"/>
      <c r="AF26" s="12"/>
      <c r="AG26" s="12"/>
      <c r="AH26" s="12"/>
      <c r="AI26" s="12">
        <f>' B2级比赛 '!AI26*5</f>
        <v>0</v>
      </c>
      <c r="AJ26" s="12"/>
      <c r="AK26" s="12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>
        <f>' B2级比赛 '!AV26*5</f>
        <v>0</v>
      </c>
      <c r="AW26" s="18">
        <f>' B2级比赛 '!AW26*5</f>
        <v>0</v>
      </c>
      <c r="AX26" s="18">
        <f>' B2级比赛 '!AX26*5</f>
        <v>0</v>
      </c>
      <c r="AY26" s="18">
        <f>' B2级比赛 '!AY26*5</f>
        <v>0</v>
      </c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23"/>
      <c r="BO26" s="23"/>
      <c r="BP26" s="23"/>
      <c r="BQ26" s="23"/>
      <c r="BR26" s="23"/>
      <c r="BS26" s="23"/>
      <c r="BT26" s="23"/>
      <c r="BU26" s="2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>
      <c r="A27" s="11" t="s">
        <v>89</v>
      </c>
      <c r="B27" s="12">
        <f>' B2级比赛 '!B27*5</f>
        <v>140</v>
      </c>
      <c r="C27" s="12">
        <f>' B2级比赛 '!C27*5</f>
        <v>98</v>
      </c>
      <c r="D27" s="15">
        <f>' B2级比赛 '!D27*5</f>
        <v>70</v>
      </c>
      <c r="E27" s="15">
        <f>' B2级比赛 '!E27*5</f>
        <v>49</v>
      </c>
      <c r="F27" s="15">
        <f>' B2级比赛 '!F27*5</f>
        <v>28</v>
      </c>
      <c r="G27" s="15">
        <f>' B2级比赛 '!G27*5</f>
        <v>23.3333333333333</v>
      </c>
      <c r="H27" s="15">
        <f>' B2级比赛 '!H27*5</f>
        <v>20</v>
      </c>
      <c r="I27" s="15">
        <f>' B2级比赛 '!I27*5</f>
        <v>17.5</v>
      </c>
      <c r="J27" s="15">
        <f>' B2级比赛 '!J27*5</f>
        <v>15.5555555555556</v>
      </c>
      <c r="K27" s="15">
        <f>' B2级比赛 '!K27*5</f>
        <v>14</v>
      </c>
      <c r="L27" s="15">
        <f>' B2级比赛 '!L27*5</f>
        <v>12.7272727272727</v>
      </c>
      <c r="M27" s="15">
        <f>' B2级比赛 '!M27*5</f>
        <v>11.6666666666667</v>
      </c>
      <c r="N27" s="15">
        <f>' B2级比赛 '!N27*5</f>
        <v>10.7692307692308</v>
      </c>
      <c r="O27" s="15">
        <f>' B2级比赛 '!O27*5</f>
        <v>10</v>
      </c>
      <c r="P27" s="12">
        <f>' B2级比赛 '!P27*5</f>
        <v>9.33333333333333</v>
      </c>
      <c r="Q27" s="12">
        <f>' B2级比赛 '!Q27*5</f>
        <v>8.75</v>
      </c>
      <c r="R27" s="12">
        <f>' B2级比赛 '!R27*5</f>
        <v>8.23529411764706</v>
      </c>
      <c r="S27" s="12">
        <f>' B2级比赛 '!S27*5</f>
        <v>7.77777777777778</v>
      </c>
      <c r="T27" s="12">
        <f>' B2级比赛 '!T27*5</f>
        <v>7.36842105263158</v>
      </c>
      <c r="U27" s="12">
        <f>' B2级比赛 '!U27*5</f>
        <v>7</v>
      </c>
      <c r="V27" s="12">
        <f>' B2级比赛 '!V27*5</f>
        <v>6.66666666666667</v>
      </c>
      <c r="W27" s="12">
        <f>' B2级比赛 '!W27*5</f>
        <v>6.36363636363636</v>
      </c>
      <c r="X27" s="12">
        <f>' B2级比赛 '!X27*5</f>
        <v>6.08695652173913</v>
      </c>
      <c r="Y27" s="12">
        <f>' B2级比赛 '!Y27*5</f>
        <v>5.83333333333335</v>
      </c>
      <c r="Z27" s="13">
        <f>' B2级比赛 '!Z27*5</f>
        <v>593.967478218824</v>
      </c>
      <c r="AA27" s="14">
        <f>' B2级比赛 '!AA27*5</f>
        <v>7.07104140736695</v>
      </c>
      <c r="AB27" s="12"/>
      <c r="AC27" s="12"/>
      <c r="AD27" s="12"/>
      <c r="AE27" s="12"/>
      <c r="AF27" s="12"/>
      <c r="AG27" s="12"/>
      <c r="AH27" s="12"/>
      <c r="AI27" s="12">
        <f>' B2级比赛 '!AI27*5</f>
        <v>0</v>
      </c>
      <c r="AJ27" s="12"/>
      <c r="AK27" s="12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>
        <f>' B2级比赛 '!AV27*5</f>
        <v>0</v>
      </c>
      <c r="AW27" s="18">
        <f>' B2级比赛 '!AW27*5</f>
        <v>0</v>
      </c>
      <c r="AX27" s="18">
        <f>' B2级比赛 '!AX27*5</f>
        <v>0</v>
      </c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23"/>
      <c r="BO27" s="23"/>
      <c r="BP27" s="23"/>
      <c r="BQ27" s="23"/>
      <c r="BR27" s="23"/>
      <c r="BS27" s="23"/>
      <c r="BT27" s="23"/>
      <c r="BU27" s="2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>
      <c r="A28" s="11" t="s">
        <v>90</v>
      </c>
      <c r="B28" s="12">
        <f>' B2级比赛 '!B28*5</f>
        <v>150</v>
      </c>
      <c r="C28" s="12">
        <f>' B2级比赛 '!C28*5</f>
        <v>105</v>
      </c>
      <c r="D28" s="15">
        <f>' B2级比赛 '!D28*5</f>
        <v>75</v>
      </c>
      <c r="E28" s="15">
        <f>' B2级比赛 '!E28*5</f>
        <v>52.5</v>
      </c>
      <c r="F28" s="15">
        <f>' B2级比赛 '!F28*5</f>
        <v>30</v>
      </c>
      <c r="G28" s="15">
        <f>' B2级比赛 '!G28*5</f>
        <v>25</v>
      </c>
      <c r="H28" s="15">
        <f>' B2级比赛 '!H28*5</f>
        <v>21.4285714285714</v>
      </c>
      <c r="I28" s="15">
        <f>' B2级比赛 '!I28*5</f>
        <v>18.75</v>
      </c>
      <c r="J28" s="15">
        <f>' B2级比赛 '!J28*5</f>
        <v>16.6666666666667</v>
      </c>
      <c r="K28" s="15">
        <f>' B2级比赛 '!K28*5</f>
        <v>15</v>
      </c>
      <c r="L28" s="15">
        <f>' B2级比赛 '!L28*5</f>
        <v>13.6363636363636</v>
      </c>
      <c r="M28" s="15">
        <f>' B2级比赛 '!M28*5</f>
        <v>12.5</v>
      </c>
      <c r="N28" s="15">
        <f>' B2级比赛 '!N28*5</f>
        <v>11.5384615384615</v>
      </c>
      <c r="O28" s="15">
        <f>' B2级比赛 '!O28*5</f>
        <v>10.7142857142857</v>
      </c>
      <c r="P28" s="12">
        <f>' B2级比赛 '!P28*5</f>
        <v>10</v>
      </c>
      <c r="Q28" s="12">
        <f>' B2级比赛 '!Q28*5</f>
        <v>9.375</v>
      </c>
      <c r="R28" s="12">
        <f>' B2级比赛 '!R28*5</f>
        <v>8.82352941176471</v>
      </c>
      <c r="S28" s="12">
        <f>' B2级比赛 '!S28*5</f>
        <v>8.33333333333333</v>
      </c>
      <c r="T28" s="12">
        <f>' B2级比赛 '!T28*5</f>
        <v>7.89473684210526</v>
      </c>
      <c r="U28" s="12">
        <f>' B2级比赛 '!U28*5</f>
        <v>7.5</v>
      </c>
      <c r="V28" s="12">
        <f>' B2级比赛 '!V28*5</f>
        <v>7.14285714285714</v>
      </c>
      <c r="W28" s="12">
        <f>' B2级比赛 '!W28*5</f>
        <v>6.81818181818182</v>
      </c>
      <c r="X28" s="12">
        <f>' B2级比赛 '!X28*5</f>
        <v>6.52173913043478</v>
      </c>
      <c r="Y28" s="12">
        <f>' B2级比赛 '!Y28*5</f>
        <v>6.25</v>
      </c>
      <c r="Z28" s="12">
        <f>' B2级比赛 '!Z28*5</f>
        <v>6</v>
      </c>
      <c r="AA28" s="12">
        <f>' B2级比赛 '!AA28*5</f>
        <v>5.76923076923075</v>
      </c>
      <c r="AB28" s="13">
        <f>' B2级比赛 '!AB28*5</f>
        <v>648.162957432257</v>
      </c>
      <c r="AC28" s="14">
        <f>' B2级比赛 '!AC28*5</f>
        <v>7.36548815263928</v>
      </c>
      <c r="AD28" s="12"/>
      <c r="AE28" s="12"/>
      <c r="AF28" s="12"/>
      <c r="AG28" s="12"/>
      <c r="AH28" s="12"/>
      <c r="AI28" s="12">
        <f>' B2级比赛 '!AI28*5</f>
        <v>0</v>
      </c>
      <c r="AJ28" s="12"/>
      <c r="AK28" s="12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23"/>
      <c r="BO28" s="23"/>
      <c r="BP28" s="23"/>
      <c r="BQ28" s="23"/>
      <c r="BR28" s="23"/>
      <c r="BS28" s="23"/>
      <c r="BT28" s="23"/>
      <c r="BU28" s="2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>
      <c r="A29" s="11" t="s">
        <v>91</v>
      </c>
      <c r="B29" s="12">
        <f>' B2级比赛 '!B29*5</f>
        <v>165</v>
      </c>
      <c r="C29" s="12">
        <f>' B2级比赛 '!C29*5</f>
        <v>115.5</v>
      </c>
      <c r="D29" s="15">
        <f>' B2级比赛 '!D29*5</f>
        <v>82.5</v>
      </c>
      <c r="E29" s="15">
        <f>' B2级比赛 '!E29*5</f>
        <v>57.75</v>
      </c>
      <c r="F29" s="15">
        <f>' B2级比赛 '!F29*5</f>
        <v>33</v>
      </c>
      <c r="G29" s="15">
        <f>' B2级比赛 '!G29*5</f>
        <v>27.5</v>
      </c>
      <c r="H29" s="15">
        <f>' B2级比赛 '!H29*5</f>
        <v>23.5714285714286</v>
      </c>
      <c r="I29" s="15">
        <f>' B2级比赛 '!I29*5</f>
        <v>20.625</v>
      </c>
      <c r="J29" s="15">
        <f>' B2级比赛 '!J29*5</f>
        <v>18.3333333333333</v>
      </c>
      <c r="K29" s="15">
        <f>' B2级比赛 '!K29*5</f>
        <v>16.5</v>
      </c>
      <c r="L29" s="15">
        <f>' B2级比赛 '!L29*5</f>
        <v>15</v>
      </c>
      <c r="M29" s="15">
        <f>' B2级比赛 '!M29*5</f>
        <v>13.75</v>
      </c>
      <c r="N29" s="15">
        <f>' B2级比赛 '!N29*5</f>
        <v>12.6923076923077</v>
      </c>
      <c r="O29" s="15">
        <f>' B2级比赛 '!O29*5</f>
        <v>11.7857142857143</v>
      </c>
      <c r="P29" s="12">
        <f>' B2级比赛 '!P29*5</f>
        <v>11</v>
      </c>
      <c r="Q29" s="12">
        <f>' B2级比赛 '!Q29*5</f>
        <v>10.3125</v>
      </c>
      <c r="R29" s="12">
        <f>' B2级比赛 '!R29*5</f>
        <v>9.70588235294118</v>
      </c>
      <c r="S29" s="12">
        <f>' B2级比赛 '!S29*5</f>
        <v>9.16666666666667</v>
      </c>
      <c r="T29" s="12">
        <f>' B2级比赛 '!T29*5</f>
        <v>8.68421052631579</v>
      </c>
      <c r="U29" s="12">
        <f>' B2级比赛 '!U29*5</f>
        <v>8.25</v>
      </c>
      <c r="V29" s="12">
        <f>' B2级比赛 '!V29*5</f>
        <v>7.85714285714286</v>
      </c>
      <c r="W29" s="12">
        <f>' B2级比赛 '!W29*5</f>
        <v>7.5</v>
      </c>
      <c r="X29" s="12">
        <f>' B2级比赛 '!X29*5</f>
        <v>7.17391304347826</v>
      </c>
      <c r="Y29" s="12">
        <f>' B2级比赛 '!Y29*5</f>
        <v>6.875</v>
      </c>
      <c r="Z29" s="12">
        <f>' B2级比赛 '!Z29*5</f>
        <v>6.6</v>
      </c>
      <c r="AA29" s="12">
        <f>' B2级比赛 '!AA29*5</f>
        <v>6.34615384615385</v>
      </c>
      <c r="AB29" s="12">
        <f>' B2级比赛 '!AB29*5</f>
        <v>6.1111111111111</v>
      </c>
      <c r="AC29" s="12">
        <f>' B2级比赛 '!AC29*5</f>
        <v>5.89285714285715</v>
      </c>
      <c r="AD29" s="13">
        <f>' B2级比赛 '!AD29*5</f>
        <v>724.983221429451</v>
      </c>
      <c r="AE29" s="14">
        <f>' B2级比赛 '!AE29*5</f>
        <v>7.63140233083632</v>
      </c>
      <c r="AF29" s="12"/>
      <c r="AG29" s="12"/>
      <c r="AH29" s="12"/>
      <c r="AI29" s="12">
        <f>' B2级比赛 '!AI29*5</f>
        <v>0</v>
      </c>
      <c r="AJ29" s="12"/>
      <c r="AK29" s="12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23"/>
      <c r="BO29" s="23"/>
      <c r="BP29" s="23"/>
      <c r="BQ29" s="23"/>
      <c r="BR29" s="23"/>
      <c r="BS29" s="23"/>
      <c r="BT29" s="23"/>
      <c r="BU29" s="2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>
      <c r="A30" s="11" t="s">
        <v>92</v>
      </c>
      <c r="B30" s="12">
        <f>' B2级比赛 '!B30*5</f>
        <v>172.5</v>
      </c>
      <c r="C30" s="12">
        <f>' B2级比赛 '!C30*5</f>
        <v>120.75</v>
      </c>
      <c r="D30" s="15">
        <f>' B2级比赛 '!D30*5</f>
        <v>86.25</v>
      </c>
      <c r="E30" s="15">
        <f>' B2级比赛 '!E30*5</f>
        <v>60.375</v>
      </c>
      <c r="F30" s="15">
        <f>' B2级比赛 '!F30*5</f>
        <v>34.5</v>
      </c>
      <c r="G30" s="15">
        <f>' B2级比赛 '!G30*5</f>
        <v>28.75</v>
      </c>
      <c r="H30" s="15">
        <f>' B2级比赛 '!H30*5</f>
        <v>24.6428571428571</v>
      </c>
      <c r="I30" s="15">
        <f>' B2级比赛 '!I30*5</f>
        <v>21.5625</v>
      </c>
      <c r="J30" s="15">
        <f>' B2级比赛 '!J30*5</f>
        <v>19.1666666666667</v>
      </c>
      <c r="K30" s="15">
        <f>' B2级比赛 '!K30*5</f>
        <v>17.25</v>
      </c>
      <c r="L30" s="15">
        <f>' B2级比赛 '!L30*5</f>
        <v>15.6818181818182</v>
      </c>
      <c r="M30" s="15">
        <f>' B2级比赛 '!M30*5</f>
        <v>14.375</v>
      </c>
      <c r="N30" s="15">
        <f>' B2级比赛 '!N30*5</f>
        <v>13.2692307692308</v>
      </c>
      <c r="O30" s="15">
        <f>' B2级比赛 '!O30*5</f>
        <v>12.3214285714286</v>
      </c>
      <c r="P30" s="12">
        <f>' B2级比赛 '!P30*5</f>
        <v>11.5</v>
      </c>
      <c r="Q30" s="12">
        <f>' B2级比赛 '!Q30*5</f>
        <v>10.78125</v>
      </c>
      <c r="R30" s="12">
        <f>' B2级比赛 '!R30*5</f>
        <v>10.1470588235294</v>
      </c>
      <c r="S30" s="12">
        <f>' B2级比赛 '!S30*5</f>
        <v>9.58333333333333</v>
      </c>
      <c r="T30" s="12">
        <f>' B2级比赛 '!T30*5</f>
        <v>9.07894736842105</v>
      </c>
      <c r="U30" s="12">
        <f>' B2级比赛 '!U30*5</f>
        <v>8.625</v>
      </c>
      <c r="V30" s="12">
        <f>' B2级比赛 '!V30*5</f>
        <v>8.21428571428571</v>
      </c>
      <c r="W30" s="12">
        <f>' B2级比赛 '!W30*5</f>
        <v>7.84090909090909</v>
      </c>
      <c r="X30" s="12">
        <f>' B2级比赛 '!X30*5</f>
        <v>7.5</v>
      </c>
      <c r="Y30" s="12">
        <f>' B2级比赛 '!Y30*5</f>
        <v>7.1875</v>
      </c>
      <c r="Z30" s="12">
        <f>' B2级比赛 '!Z30*5</f>
        <v>6.9</v>
      </c>
      <c r="AA30" s="12">
        <f>' B2级比赛 '!AA30*5</f>
        <v>6.63461538461538</v>
      </c>
      <c r="AB30" s="12">
        <f>' B2级比赛 '!AB30*5</f>
        <v>6.38888888888889</v>
      </c>
      <c r="AC30" s="12">
        <f>' B2级比赛 '!AC30*5</f>
        <v>6.16071428571429</v>
      </c>
      <c r="AD30" s="12">
        <f>' B2级比赛 '!AD30*5</f>
        <v>5.94827586206895</v>
      </c>
      <c r="AE30" s="13">
        <f>' B2级比赛 '!AE30*5</f>
        <v>763.885280083767</v>
      </c>
      <c r="AF30" s="14">
        <f>' B2级比赛 '!AF30*5</f>
        <v>7.79474775595681</v>
      </c>
      <c r="AG30" s="12"/>
      <c r="AH30" s="12"/>
      <c r="AI30" s="12">
        <f>' B2级比赛 '!AI30*5</f>
        <v>0</v>
      </c>
      <c r="AJ30" s="12"/>
      <c r="AK30" s="12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23"/>
      <c r="BO30" s="23"/>
      <c r="BP30" s="23"/>
      <c r="BQ30" s="23"/>
      <c r="BR30" s="23"/>
      <c r="BS30" s="23"/>
      <c r="BT30" s="23"/>
      <c r="BU30" s="2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="2" customFormat="1" spans="1:110">
      <c r="A31" s="16" t="s">
        <v>93</v>
      </c>
      <c r="B31" s="17">
        <f>' B2级比赛 '!B31*5</f>
        <v>182.5</v>
      </c>
      <c r="C31" s="17">
        <f>' B2级比赛 '!C31*5</f>
        <v>127.75</v>
      </c>
      <c r="D31" s="17">
        <f>' B2级比赛 '!D31*5</f>
        <v>91.25</v>
      </c>
      <c r="E31" s="17">
        <f>' B2级比赛 '!E31*5</f>
        <v>63.875</v>
      </c>
      <c r="F31" s="17">
        <f>' B2级比赛 '!F31*5</f>
        <v>36.5</v>
      </c>
      <c r="G31" s="17">
        <f>' B2级比赛 '!G31*5</f>
        <v>30.4166666666667</v>
      </c>
      <c r="H31" s="17">
        <f>' B2级比赛 '!H31*5</f>
        <v>26.0714285714286</v>
      </c>
      <c r="I31" s="17">
        <f>' B2级比赛 '!I31*5</f>
        <v>22.8125</v>
      </c>
      <c r="J31" s="17">
        <f>' B2级比赛 '!J31*5</f>
        <v>20.2777777777778</v>
      </c>
      <c r="K31" s="17">
        <f>' B2级比赛 '!K31*5</f>
        <v>18.25</v>
      </c>
      <c r="L31" s="17">
        <f>' B2级比赛 '!L31*5</f>
        <v>16.5909090909091</v>
      </c>
      <c r="M31" s="17">
        <f>' B2级比赛 '!M31*5</f>
        <v>15.2083333333333</v>
      </c>
      <c r="N31" s="17">
        <f>' B2级比赛 '!N31*5</f>
        <v>14.0384615384615</v>
      </c>
      <c r="O31" s="17">
        <f>' B2级比赛 '!O31*5</f>
        <v>13.0357142857143</v>
      </c>
      <c r="P31" s="17">
        <f>' B2级比赛 '!P31*5</f>
        <v>12.1666666666667</v>
      </c>
      <c r="Q31" s="17">
        <f>' B2级比赛 '!Q31*5</f>
        <v>11.40625</v>
      </c>
      <c r="R31" s="17">
        <f>' B2级比赛 '!R31*5</f>
        <v>10.7352941176471</v>
      </c>
      <c r="S31" s="17">
        <f>' B2级比赛 '!S31*5</f>
        <v>10.1388888888889</v>
      </c>
      <c r="T31" s="17">
        <f>' B2级比赛 '!T31*5</f>
        <v>9.60526315789474</v>
      </c>
      <c r="U31" s="17">
        <f>' B2级比赛 '!U31*5</f>
        <v>9.125</v>
      </c>
      <c r="V31" s="17">
        <f>' B2级比赛 '!V31*5</f>
        <v>8.69047619047619</v>
      </c>
      <c r="W31" s="17">
        <f>' B2级比赛 '!W31*5</f>
        <v>8.29545454545455</v>
      </c>
      <c r="X31" s="17">
        <f>' B2级比赛 '!X31*5</f>
        <v>7.93478260869565</v>
      </c>
      <c r="Y31" s="17">
        <f>' B2级比赛 '!Y31*5</f>
        <v>7.60416666666667</v>
      </c>
      <c r="Z31" s="17">
        <f>' B2级比赛 '!Z31*5</f>
        <v>7.3</v>
      </c>
      <c r="AA31" s="17">
        <f>' B2级比赛 '!AA31*5</f>
        <v>7.01923076923077</v>
      </c>
      <c r="AB31" s="17">
        <f>' B2级比赛 '!AB31*5</f>
        <v>6.75925925925926</v>
      </c>
      <c r="AC31" s="17">
        <f>' B2级比赛 '!AC31*5</f>
        <v>6.51785714285714</v>
      </c>
      <c r="AD31" s="17">
        <f>' B2级比赛 '!AD31*5</f>
        <v>6.29310344827586</v>
      </c>
      <c r="AE31" s="17">
        <f>' B2级比赛 '!AE31*5</f>
        <v>6.08333333333335</v>
      </c>
      <c r="AF31" s="17">
        <f>' B2级比赛 '!AF31*5</f>
        <v>5.88709677419355</v>
      </c>
      <c r="AG31" s="13">
        <f>' B2级比赛 '!AG31*5</f>
        <v>820.138914833832</v>
      </c>
      <c r="AH31" s="14">
        <f>' B2级比赛 '!AH31*5</f>
        <v>7.88595110417146</v>
      </c>
      <c r="AI31" s="12">
        <f>' B2级比赛 '!AI31*5</f>
        <v>0</v>
      </c>
      <c r="AJ31" s="12"/>
      <c r="AK31" s="12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23"/>
      <c r="BO31" s="23"/>
      <c r="BP31" s="23"/>
      <c r="BQ31" s="23"/>
      <c r="BR31" s="23"/>
      <c r="BS31" s="23"/>
      <c r="BT31" s="23"/>
      <c r="BU31" s="2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>
      <c r="A32" s="11" t="s">
        <v>94</v>
      </c>
      <c r="B32" s="12">
        <f>' B2级比赛 '!B32*5</f>
        <v>187.5</v>
      </c>
      <c r="C32" s="12">
        <f>' B2级比赛 '!C32*5</f>
        <v>131.25</v>
      </c>
      <c r="D32" s="15">
        <f>' B2级比赛 '!D32*5</f>
        <v>93.75</v>
      </c>
      <c r="E32" s="15">
        <f>' B2级比赛 '!E32*5</f>
        <v>65.625</v>
      </c>
      <c r="F32" s="15">
        <f>' B2级比赛 '!F32*5</f>
        <v>37.5</v>
      </c>
      <c r="G32" s="15">
        <f>' B2级比赛 '!G32*5</f>
        <v>31.25</v>
      </c>
      <c r="H32" s="15">
        <f>' B2级比赛 '!H32*5</f>
        <v>26.7857142857143</v>
      </c>
      <c r="I32" s="15">
        <f>' B2级比赛 '!I32*5</f>
        <v>23.4375</v>
      </c>
      <c r="J32" s="15">
        <f>' B2级比赛 '!J32*5</f>
        <v>20.8333333333333</v>
      </c>
      <c r="K32" s="15">
        <f>' B2级比赛 '!K32*5</f>
        <v>18.75</v>
      </c>
      <c r="L32" s="15">
        <f>' B2级比赛 '!L32*5</f>
        <v>17.0454545454545</v>
      </c>
      <c r="M32" s="15">
        <f>' B2级比赛 '!M32*5</f>
        <v>15.625</v>
      </c>
      <c r="N32" s="15">
        <f>' B2级比赛 '!N32*5</f>
        <v>14.4230769230769</v>
      </c>
      <c r="O32" s="15">
        <f>' B2级比赛 '!O32*5</f>
        <v>13.3928571428571</v>
      </c>
      <c r="P32" s="12">
        <f>' B2级比赛 '!P32*5</f>
        <v>12.5</v>
      </c>
      <c r="Q32" s="12">
        <f>' B2级比赛 '!Q32*5</f>
        <v>11.71875</v>
      </c>
      <c r="R32" s="12">
        <f>' B2级比赛 '!R32*5</f>
        <v>11.0294117647059</v>
      </c>
      <c r="S32" s="12">
        <f>' B2级比赛 '!S32*5</f>
        <v>10.4166666666667</v>
      </c>
      <c r="T32" s="12">
        <f>' B2级比赛 '!T32*5</f>
        <v>9.86842105263158</v>
      </c>
      <c r="U32" s="12">
        <f>' B2级比赛 '!U32*5</f>
        <v>9.375</v>
      </c>
      <c r="V32" s="12">
        <f>' B2级比赛 '!V32*5</f>
        <v>8.92857142857143</v>
      </c>
      <c r="W32" s="12">
        <f>' B2级比赛 '!W32*5</f>
        <v>8.52272727272727</v>
      </c>
      <c r="X32" s="12">
        <f>' B2级比赛 '!X32*5</f>
        <v>8.15217391304348</v>
      </c>
      <c r="Y32" s="12">
        <f>' B2级比赛 '!Y32*5</f>
        <v>7.8125</v>
      </c>
      <c r="Z32" s="12">
        <f>' B2级比赛 '!Z32*5</f>
        <v>7.5</v>
      </c>
      <c r="AA32" s="12">
        <f>' B2级比赛 '!AA32*5</f>
        <v>7.21153846153846</v>
      </c>
      <c r="AB32" s="12">
        <f>' B2级比赛 '!AB32*5</f>
        <v>6.94444444444444</v>
      </c>
      <c r="AC32" s="12">
        <f>' B2级比赛 '!AC32*5</f>
        <v>6.69642857142857</v>
      </c>
      <c r="AD32" s="12">
        <f>' B2级比赛 '!AD32*5</f>
        <v>6.46551724137931</v>
      </c>
      <c r="AE32" s="12">
        <f>' B2级比赛 '!AE32*5</f>
        <v>6.25</v>
      </c>
      <c r="AF32" s="12">
        <f>' B2级比赛 '!AF32*5</f>
        <v>6.04838709677419</v>
      </c>
      <c r="AG32" s="12">
        <f>' B2级比赛 '!AG32*5</f>
        <v>5.859375</v>
      </c>
      <c r="AH32" s="13">
        <f>' B2级比赛 '!AH32*5</f>
        <v>848.467849144348</v>
      </c>
      <c r="AI32" s="14">
        <f>' B2级比赛 '!AI32*5</f>
        <v>7.85618378837359</v>
      </c>
      <c r="AJ32" s="12"/>
      <c r="AK32" s="12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23"/>
      <c r="BO32" s="23"/>
      <c r="BP32" s="23"/>
      <c r="BQ32" s="23"/>
      <c r="BR32" s="23"/>
      <c r="BS32" s="23"/>
      <c r="BT32" s="23"/>
      <c r="BU32" s="2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>
      <c r="A33" s="11" t="s">
        <v>95</v>
      </c>
      <c r="B33" s="12">
        <f>' B2级比赛 '!B33*5</f>
        <v>197.5</v>
      </c>
      <c r="C33" s="12">
        <f>' B2级比赛 '!C33*5</f>
        <v>138.25</v>
      </c>
      <c r="D33" s="15">
        <f>' B2级比赛 '!D33*5</f>
        <v>98.75</v>
      </c>
      <c r="E33" s="15">
        <f>' B2级比赛 '!E33*5</f>
        <v>69.125</v>
      </c>
      <c r="F33" s="15">
        <f>' B2级比赛 '!F33*5</f>
        <v>39.5</v>
      </c>
      <c r="G33" s="15">
        <f>' B2级比赛 '!G33*5</f>
        <v>32.9166666666667</v>
      </c>
      <c r="H33" s="15">
        <f>' B2级比赛 '!H33*5</f>
        <v>28.2142857142857</v>
      </c>
      <c r="I33" s="15">
        <f>' B2级比赛 '!I33*5</f>
        <v>24.6875</v>
      </c>
      <c r="J33" s="15">
        <f>' B2级比赛 '!J33*5</f>
        <v>21.9444444444444</v>
      </c>
      <c r="K33" s="15">
        <f>' B2级比赛 '!K33*5</f>
        <v>19.75</v>
      </c>
      <c r="L33" s="15">
        <f>' B2级比赛 '!L33*5</f>
        <v>17.9545454545455</v>
      </c>
      <c r="M33" s="15">
        <f>' B2级比赛 '!M33*5</f>
        <v>16.4583333333333</v>
      </c>
      <c r="N33" s="15">
        <f>' B2级比赛 '!N33*5</f>
        <v>15.1923076923077</v>
      </c>
      <c r="O33" s="15">
        <f>' B2级比赛 '!O33*5</f>
        <v>14.1071428571429</v>
      </c>
      <c r="P33" s="12">
        <f>' B2级比赛 '!P33*5</f>
        <v>13.1666666666667</v>
      </c>
      <c r="Q33" s="12">
        <f>' B2级比赛 '!Q33*5</f>
        <v>12.34375</v>
      </c>
      <c r="R33" s="12">
        <f>' B2级比赛 '!R33*5</f>
        <v>11.6176470588235</v>
      </c>
      <c r="S33" s="12">
        <f>' B2级比赛 '!S33*5</f>
        <v>10.9722222222222</v>
      </c>
      <c r="T33" s="12">
        <f>' B2级比赛 '!T33*5</f>
        <v>10.3947368421053</v>
      </c>
      <c r="U33" s="12">
        <f>' B2级比赛 '!U33*5</f>
        <v>9.875</v>
      </c>
      <c r="V33" s="12">
        <f>' B2级比赛 '!V33*5</f>
        <v>9.40476190476191</v>
      </c>
      <c r="W33" s="12">
        <f>' B2级比赛 '!W33*5</f>
        <v>8.97727272727273</v>
      </c>
      <c r="X33" s="12">
        <f>' B2级比赛 '!X33*5</f>
        <v>8.58695652173913</v>
      </c>
      <c r="Y33" s="12">
        <f>' B2级比赛 '!Y33*5</f>
        <v>8.22916666666667</v>
      </c>
      <c r="Z33" s="12">
        <f>' B2级比赛 '!Z33*5</f>
        <v>7.9</v>
      </c>
      <c r="AA33" s="12">
        <f>' B2级比赛 '!AA33*5</f>
        <v>7.59615384615385</v>
      </c>
      <c r="AB33" s="12">
        <f>' B2级比赛 '!AB33*5</f>
        <v>7.31481481481481</v>
      </c>
      <c r="AC33" s="12">
        <f>' B2级比赛 '!AC33*5</f>
        <v>7.05357142857143</v>
      </c>
      <c r="AD33" s="12">
        <f>' B2级比赛 '!AD33*5</f>
        <v>6.81034482758621</v>
      </c>
      <c r="AE33" s="12">
        <f>' B2级比赛 '!AE33*5</f>
        <v>6.58333333333333</v>
      </c>
      <c r="AF33" s="12">
        <f>' B2级比赛 '!AF33*5</f>
        <v>6.37096774193548</v>
      </c>
      <c r="AG33" s="12">
        <f>' B2级比赛 '!AG33*5</f>
        <v>6.171875</v>
      </c>
      <c r="AH33" s="12">
        <f>' B2级比赛 '!AH33*5</f>
        <v>5.9848484848485</v>
      </c>
      <c r="AI33" s="12">
        <f>' B2级比赛 '!AI33*5</f>
        <v>5.80882352941175</v>
      </c>
      <c r="AJ33" s="13">
        <f>' B2级比赛 '!AJ33*5</f>
        <v>905.513139779639</v>
      </c>
      <c r="AK33" s="14">
        <f>' B2级比赛 '!AK33*5</f>
        <v>7.87402730243165</v>
      </c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23"/>
      <c r="BO33" s="23"/>
      <c r="BP33" s="23"/>
      <c r="BQ33" s="23"/>
      <c r="BR33" s="23"/>
      <c r="BS33" s="23"/>
      <c r="BT33" s="23"/>
      <c r="BU33" s="2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>
      <c r="A34" s="11" t="s">
        <v>96</v>
      </c>
      <c r="B34" s="12">
        <f>' B2级比赛 '!B34*5</f>
        <v>202.5</v>
      </c>
      <c r="C34" s="12">
        <f>' B2级比赛 '!C34*5</f>
        <v>141.75</v>
      </c>
      <c r="D34" s="15">
        <f>' B2级比赛 '!D34*5</f>
        <v>101.25</v>
      </c>
      <c r="E34" s="15">
        <f>' B2级比赛 '!E34*5</f>
        <v>70.875</v>
      </c>
      <c r="F34" s="15">
        <f>' B2级比赛 '!F34*5</f>
        <v>40.5</v>
      </c>
      <c r="G34" s="15">
        <f>' B2级比赛 '!G34*5</f>
        <v>33.75</v>
      </c>
      <c r="H34" s="15">
        <f>' B2级比赛 '!H34*5</f>
        <v>28.9285714285714</v>
      </c>
      <c r="I34" s="15">
        <f>' B2级比赛 '!I34*5</f>
        <v>25.3125</v>
      </c>
      <c r="J34" s="15">
        <f>' B2级比赛 '!J34*5</f>
        <v>22.5</v>
      </c>
      <c r="K34" s="15">
        <f>' B2级比赛 '!K34*5</f>
        <v>20.25</v>
      </c>
      <c r="L34" s="15">
        <f>' B2级比赛 '!L34*5</f>
        <v>18.4090909090909</v>
      </c>
      <c r="M34" s="15">
        <f>' B2级比赛 '!M34*5</f>
        <v>16.875</v>
      </c>
      <c r="N34" s="15">
        <f>' B2级比赛 '!N34*5</f>
        <v>15.5769230769231</v>
      </c>
      <c r="O34" s="15">
        <f>' B2级比赛 '!O34*5</f>
        <v>14.4642857142857</v>
      </c>
      <c r="P34" s="12">
        <f>' B2级比赛 '!P34*5</f>
        <v>13.5</v>
      </c>
      <c r="Q34" s="12">
        <f>' B2级比赛 '!Q34*5</f>
        <v>12.65625</v>
      </c>
      <c r="R34" s="12">
        <f>' B2级比赛 '!R34*5</f>
        <v>11.9117647058824</v>
      </c>
      <c r="S34" s="12">
        <f>' B2级比赛 '!S34*5</f>
        <v>11.25</v>
      </c>
      <c r="T34" s="12">
        <f>' B2级比赛 '!T34*5</f>
        <v>10.6578947368421</v>
      </c>
      <c r="U34" s="12">
        <f>' B2级比赛 '!U34*5</f>
        <v>10.125</v>
      </c>
      <c r="V34" s="12">
        <f>' B2级比赛 '!V34*5</f>
        <v>9.64285714285714</v>
      </c>
      <c r="W34" s="12">
        <f>' B2级比赛 '!W34*5</f>
        <v>9.20454545454545</v>
      </c>
      <c r="X34" s="12">
        <f>' B2级比赛 '!X34*5</f>
        <v>8.80434782608696</v>
      </c>
      <c r="Y34" s="12">
        <f>' B2级比赛 '!Y34*5</f>
        <v>8.4375</v>
      </c>
      <c r="Z34" s="12">
        <f>' B2级比赛 '!Z34*5</f>
        <v>8.1</v>
      </c>
      <c r="AA34" s="12">
        <f>' B2级比赛 '!AA34*5</f>
        <v>7.78846153846154</v>
      </c>
      <c r="AB34" s="12">
        <f>' B2级比赛 '!AB34*5</f>
        <v>7.5</v>
      </c>
      <c r="AC34" s="12">
        <f>' B2级比赛 '!AC34*5</f>
        <v>7.23214285714286</v>
      </c>
      <c r="AD34" s="12">
        <f>' B2级比赛 '!AD34*5</f>
        <v>6.98275862068965</v>
      </c>
      <c r="AE34" s="12">
        <f>' B2级比赛 '!AE34*5</f>
        <v>6.75</v>
      </c>
      <c r="AF34" s="12">
        <f>' B2级比赛 '!AF34*5</f>
        <v>6.53225806451613</v>
      </c>
      <c r="AG34" s="12">
        <f>' B2级比赛 '!AG34*5</f>
        <v>6.328125</v>
      </c>
      <c r="AH34" s="12">
        <f>' B2级比赛 '!AH34*5</f>
        <v>6.13636363636364</v>
      </c>
      <c r="AI34" s="12">
        <f>' B2级比赛 '!AI34*5</f>
        <v>5.95588235294118</v>
      </c>
      <c r="AJ34" s="12">
        <f>' B2级比赛 '!AJ34*5</f>
        <v>5.7857142857143</v>
      </c>
      <c r="AK34" s="13">
        <f>' B2级比赛 '!AK34*5</f>
        <v>934.223237350915</v>
      </c>
      <c r="AL34" s="20">
        <f>' B2级比赛 '!AL34*5</f>
        <v>7.91714607924504</v>
      </c>
      <c r="AM34" s="18"/>
      <c r="AN34" s="18"/>
      <c r="AO34" s="18"/>
      <c r="AP34" s="18">
        <f>' B2级比赛 '!AP34*5</f>
        <v>0</v>
      </c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23"/>
      <c r="BO34" s="23"/>
      <c r="BP34" s="23"/>
      <c r="BQ34" s="23"/>
      <c r="BR34" s="23"/>
      <c r="BS34" s="23"/>
      <c r="BT34" s="23"/>
      <c r="BU34" s="2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>
      <c r="A35" s="11" t="s">
        <v>97</v>
      </c>
      <c r="B35" s="12">
        <f>' B2级比赛 '!B35*5</f>
        <v>212.5</v>
      </c>
      <c r="C35" s="12">
        <f>' B2级比赛 '!C35*5</f>
        <v>148.75</v>
      </c>
      <c r="D35" s="15">
        <f>' B2级比赛 '!D35*5</f>
        <v>106.25</v>
      </c>
      <c r="E35" s="15">
        <f>' B2级比赛 '!E35*5</f>
        <v>74.375</v>
      </c>
      <c r="F35" s="15">
        <f>' B2级比赛 '!F35*5</f>
        <v>42.5</v>
      </c>
      <c r="G35" s="15">
        <f>' B2级比赛 '!G35*5</f>
        <v>35.4166666666667</v>
      </c>
      <c r="H35" s="15">
        <f>' B2级比赛 '!H35*5</f>
        <v>30.3571428571429</v>
      </c>
      <c r="I35" s="15">
        <f>' B2级比赛 '!I35*5</f>
        <v>26.5625</v>
      </c>
      <c r="J35" s="15">
        <f>' B2级比赛 '!J35*5</f>
        <v>23.6111111111111</v>
      </c>
      <c r="K35" s="15">
        <f>' B2级比赛 '!K35*5</f>
        <v>21.25</v>
      </c>
      <c r="L35" s="15">
        <f>' B2级比赛 '!L35*5</f>
        <v>19.3181818181818</v>
      </c>
      <c r="M35" s="15">
        <f>' B2级比赛 '!M35*5</f>
        <v>17.7083333333333</v>
      </c>
      <c r="N35" s="15">
        <f>' B2级比赛 '!N35*5</f>
        <v>16.3461538461538</v>
      </c>
      <c r="O35" s="15">
        <f>' B2级比赛 '!O35*5</f>
        <v>15.1785714285714</v>
      </c>
      <c r="P35" s="12">
        <f>' B2级比赛 '!P35*5</f>
        <v>14.1666666666667</v>
      </c>
      <c r="Q35" s="12">
        <f>' B2级比赛 '!Q35*5</f>
        <v>13.28125</v>
      </c>
      <c r="R35" s="12">
        <f>' B2级比赛 '!R35*5</f>
        <v>12.5</v>
      </c>
      <c r="S35" s="12">
        <f>' B2级比赛 '!S35*5</f>
        <v>11.8055555555556</v>
      </c>
      <c r="T35" s="12">
        <f>' B2级比赛 '!T35*5</f>
        <v>11.1842105263158</v>
      </c>
      <c r="U35" s="12">
        <f>' B2级比赛 '!U35*5</f>
        <v>10.625</v>
      </c>
      <c r="V35" s="12">
        <f>' B2级比赛 '!V35*5</f>
        <v>10.1190476190476</v>
      </c>
      <c r="W35" s="12">
        <f>' B2级比赛 '!W35*5</f>
        <v>9.65909090909091</v>
      </c>
      <c r="X35" s="12">
        <f>' B2级比赛 '!X35*5</f>
        <v>9.23913043478261</v>
      </c>
      <c r="Y35" s="12">
        <f>' B2级比赛 '!Y35*5</f>
        <v>8.85416666666667</v>
      </c>
      <c r="Z35" s="12">
        <f>' B2级比赛 '!Z35*5</f>
        <v>8.5</v>
      </c>
      <c r="AA35" s="12">
        <f>' B2级比赛 '!AA35*5</f>
        <v>8.17307692307692</v>
      </c>
      <c r="AB35" s="12">
        <f>' B2级比赛 '!AB35*5</f>
        <v>7.87037037037037</v>
      </c>
      <c r="AC35" s="12">
        <f>' B2级比赛 '!AC35*5</f>
        <v>7.58928571428571</v>
      </c>
      <c r="AD35" s="12">
        <f>' B2级比赛 '!AD35*5</f>
        <v>7.32758620689655</v>
      </c>
      <c r="AE35" s="12">
        <f>' B2级比赛 '!AE35*5</f>
        <v>7.08333333333333</v>
      </c>
      <c r="AF35" s="12">
        <f>' B2级比赛 '!AF35*5</f>
        <v>6.85483870967742</v>
      </c>
      <c r="AG35" s="12">
        <f>' B2级比赛 '!AG35*5</f>
        <v>6.640625</v>
      </c>
      <c r="AH35" s="12">
        <f>' B2级比赛 '!AH35*5</f>
        <v>6.43939393939394</v>
      </c>
      <c r="AI35" s="12">
        <f>' B2级比赛 '!AI35*5</f>
        <v>6.25</v>
      </c>
      <c r="AJ35" s="12">
        <f>' B2级比赛 '!AJ35*5</f>
        <v>6.07142857142857</v>
      </c>
      <c r="AK35" s="12">
        <f>' B2级比赛 '!AK35*5</f>
        <v>5.9027777777778</v>
      </c>
      <c r="AL35" s="12">
        <f>' B2级比赛 '!AL35*5</f>
        <v>5.74324324324325</v>
      </c>
      <c r="AM35" s="21">
        <f>' B2级比赛 '!AM35*5</f>
        <v>992.003739228771</v>
      </c>
      <c r="AN35" s="20">
        <f>' B2级比赛 '!AN35*5</f>
        <v>8.00003015507073</v>
      </c>
      <c r="AO35" s="18"/>
      <c r="AP35" s="18">
        <f>' B2级比赛 '!AP35*5</f>
        <v>0</v>
      </c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23"/>
      <c r="BO35" s="23"/>
      <c r="BP35" s="23"/>
      <c r="BQ35" s="23"/>
      <c r="BR35" s="23"/>
      <c r="BS35" s="23"/>
      <c r="BT35" s="23"/>
      <c r="BU35" s="2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>
      <c r="A36" s="11" t="s">
        <v>98</v>
      </c>
      <c r="B36" s="12">
        <f>' B2级比赛 '!B36*5</f>
        <v>221</v>
      </c>
      <c r="C36" s="12">
        <f>' B2级比赛 '!C36*5</f>
        <v>154.7</v>
      </c>
      <c r="D36" s="15">
        <f>' B2级比赛 '!D36*5</f>
        <v>110.5</v>
      </c>
      <c r="E36" s="15">
        <f>' B2级比赛 '!E36*5</f>
        <v>77.35</v>
      </c>
      <c r="F36" s="15">
        <f>' B2级比赛 '!F36*5</f>
        <v>44.2</v>
      </c>
      <c r="G36" s="15">
        <f>' B2级比赛 '!G36*5</f>
        <v>36.8333333333333</v>
      </c>
      <c r="H36" s="15">
        <f>' B2级比赛 '!H36*5</f>
        <v>31.5714285714286</v>
      </c>
      <c r="I36" s="15">
        <f>' B2级比赛 '!I36*5</f>
        <v>27.625</v>
      </c>
      <c r="J36" s="15">
        <f>' B2级比赛 '!J36*5</f>
        <v>24.5555555555556</v>
      </c>
      <c r="K36" s="15">
        <f>' B2级比赛 '!K36*5</f>
        <v>22.1</v>
      </c>
      <c r="L36" s="15">
        <f>' B2级比赛 '!L36*5</f>
        <v>20.0909090909091</v>
      </c>
      <c r="M36" s="15">
        <f>' B2级比赛 '!M36*5</f>
        <v>18.4166666666667</v>
      </c>
      <c r="N36" s="15">
        <f>' B2级比赛 '!N36*5</f>
        <v>17</v>
      </c>
      <c r="O36" s="15">
        <f>' B2级比赛 '!O36*5</f>
        <v>15.7857142857143</v>
      </c>
      <c r="P36" s="12">
        <f>' B2级比赛 '!P36*5</f>
        <v>14.7333333333333</v>
      </c>
      <c r="Q36" s="12">
        <f>' B2级比赛 '!Q36*5</f>
        <v>13.8125</v>
      </c>
      <c r="R36" s="12">
        <f>' B2级比赛 '!R36*5</f>
        <v>13</v>
      </c>
      <c r="S36" s="12">
        <f>' B2级比赛 '!S36*5</f>
        <v>12.2777777777778</v>
      </c>
      <c r="T36" s="12">
        <f>' B2级比赛 '!T36*5</f>
        <v>11.6315789473684</v>
      </c>
      <c r="U36" s="12">
        <f>' B2级比赛 '!U36*5</f>
        <v>11.05</v>
      </c>
      <c r="V36" s="12">
        <f>' B2级比赛 '!V36*5</f>
        <v>10.5238095238095</v>
      </c>
      <c r="W36" s="12">
        <f>' B2级比赛 '!W36*5</f>
        <v>10.0454545454545</v>
      </c>
      <c r="X36" s="12">
        <f>' B2级比赛 '!X36*5</f>
        <v>9.60869565217391</v>
      </c>
      <c r="Y36" s="12">
        <f>' B2级比赛 '!Y36*5</f>
        <v>9.20833333333333</v>
      </c>
      <c r="Z36" s="12">
        <f>' B2级比赛 '!Z36*5</f>
        <v>8.84</v>
      </c>
      <c r="AA36" s="12">
        <f>' B2级比赛 '!AA36*5</f>
        <v>8.5</v>
      </c>
      <c r="AB36" s="12">
        <f>' B2级比赛 '!AB36*5</f>
        <v>8.18518518518519</v>
      </c>
      <c r="AC36" s="12">
        <f>' B2级比赛 '!AC36*5</f>
        <v>7.89285714285714</v>
      </c>
      <c r="AD36" s="12">
        <f>' B2级比赛 '!AD36*5</f>
        <v>7.62068965517241</v>
      </c>
      <c r="AE36" s="12">
        <f>' B2级比赛 '!AE36*5</f>
        <v>7.36666666666667</v>
      </c>
      <c r="AF36" s="12">
        <f>' B2级比赛 '!AF36*5</f>
        <v>7.12903225806452</v>
      </c>
      <c r="AG36" s="12">
        <f>' B2级比赛 '!AG36*5</f>
        <v>6.90625</v>
      </c>
      <c r="AH36" s="12">
        <f>' B2级比赛 '!AH36*5</f>
        <v>6.6969696969697</v>
      </c>
      <c r="AI36" s="12">
        <f>' B2级比赛 '!AI36*5</f>
        <v>6.5</v>
      </c>
      <c r="AJ36" s="12">
        <f>' B2级比赛 '!AJ36*5</f>
        <v>6.31428571428571</v>
      </c>
      <c r="AK36" s="12">
        <f>' B2级比赛 '!AK36*5</f>
        <v>6.13888888888889</v>
      </c>
      <c r="AL36" s="12">
        <f>' B2级比赛 '!AL36*5</f>
        <v>5.97297297297297</v>
      </c>
      <c r="AM36" s="12">
        <f>' B2级比赛 '!AM36*5</f>
        <v>5.8157894736842</v>
      </c>
      <c r="AN36" s="21">
        <f>' B2级比赛 '!AN36*5</f>
        <v>1037.49967827161</v>
      </c>
      <c r="AO36" s="20">
        <f>' B2级比赛 '!AO36*5</f>
        <v>8.04263316489617</v>
      </c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23"/>
      <c r="BO36" s="23"/>
      <c r="BP36" s="23"/>
      <c r="BQ36" s="23"/>
      <c r="BR36" s="23"/>
      <c r="BS36" s="23"/>
      <c r="BT36" s="23"/>
      <c r="BU36" s="2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>
      <c r="A37" s="11" t="s">
        <v>99</v>
      </c>
      <c r="B37" s="12">
        <f>' B2级比赛 '!B37*5</f>
        <v>226</v>
      </c>
      <c r="C37" s="12">
        <f>' B2级比赛 '!C37*5</f>
        <v>158.2</v>
      </c>
      <c r="D37" s="15">
        <f>' B2级比赛 '!D37*5</f>
        <v>113</v>
      </c>
      <c r="E37" s="15">
        <f>' B2级比赛 '!E37*5</f>
        <v>79.1</v>
      </c>
      <c r="F37" s="15">
        <f>' B2级比赛 '!F37*5</f>
        <v>45.2</v>
      </c>
      <c r="G37" s="15">
        <f>' B2级比赛 '!G37*5</f>
        <v>37.6666666666667</v>
      </c>
      <c r="H37" s="15">
        <f>' B2级比赛 '!H37*5</f>
        <v>32.2857142857143</v>
      </c>
      <c r="I37" s="15">
        <f>' B2级比赛 '!I37*5</f>
        <v>28.25</v>
      </c>
      <c r="J37" s="15">
        <f>' B2级比赛 '!J37*5</f>
        <v>25.1111111111111</v>
      </c>
      <c r="K37" s="15">
        <f>' B2级比赛 '!K37*5</f>
        <v>22.6</v>
      </c>
      <c r="L37" s="15">
        <f>' B2级比赛 '!L37*5</f>
        <v>20.5454545454545</v>
      </c>
      <c r="M37" s="15">
        <f>' B2级比赛 '!M37*5</f>
        <v>18.8333333333333</v>
      </c>
      <c r="N37" s="15">
        <f>' B2级比赛 '!N37*5</f>
        <v>17.3846153846154</v>
      </c>
      <c r="O37" s="15">
        <f>' B2级比赛 '!O37*5</f>
        <v>16.1428571428571</v>
      </c>
      <c r="P37" s="12">
        <f>' B2级比赛 '!P37*5</f>
        <v>15.0666666666667</v>
      </c>
      <c r="Q37" s="12">
        <f>' B2级比赛 '!Q37*5</f>
        <v>14.125</v>
      </c>
      <c r="R37" s="12">
        <f>' B2级比赛 '!R37*5</f>
        <v>13.2941176470588</v>
      </c>
      <c r="S37" s="12">
        <f>' B2级比赛 '!S37*5</f>
        <v>12.5555555555556</v>
      </c>
      <c r="T37" s="12">
        <f>' B2级比赛 '!T37*5</f>
        <v>11.8947368421053</v>
      </c>
      <c r="U37" s="12">
        <f>' B2级比赛 '!U37*5</f>
        <v>11.3</v>
      </c>
      <c r="V37" s="12">
        <f>' B2级比赛 '!V37*5</f>
        <v>10.7619047619048</v>
      </c>
      <c r="W37" s="12">
        <f>' B2级比赛 '!W37*5</f>
        <v>10.2727272727273</v>
      </c>
      <c r="X37" s="12">
        <f>' B2级比赛 '!X37*5</f>
        <v>9.82608695652174</v>
      </c>
      <c r="Y37" s="12">
        <f>' B2级比赛 '!Y37*5</f>
        <v>9.41666666666667</v>
      </c>
      <c r="Z37" s="12">
        <f>' B2级比赛 '!Z37*5</f>
        <v>9.04</v>
      </c>
      <c r="AA37" s="12">
        <f>' B2级比赛 '!AA37*5</f>
        <v>8.69230769230769</v>
      </c>
      <c r="AB37" s="12">
        <f>' B2级比赛 '!AB37*5</f>
        <v>8.37037037037037</v>
      </c>
      <c r="AC37" s="12">
        <f>' B2级比赛 '!AC37*5</f>
        <v>8.07142857142857</v>
      </c>
      <c r="AD37" s="12">
        <f>' B2级比赛 '!AD37*5</f>
        <v>7.79310344827586</v>
      </c>
      <c r="AE37" s="12">
        <f>' B2级比赛 '!AE37*5</f>
        <v>7.53333333333333</v>
      </c>
      <c r="AF37" s="12">
        <f>' B2级比赛 '!AF37*5</f>
        <v>7.29032258064516</v>
      </c>
      <c r="AG37" s="12">
        <f>' B2级比赛 '!AG37*5</f>
        <v>7.0625</v>
      </c>
      <c r="AH37" s="12">
        <f>' B2级比赛 '!AH37*5</f>
        <v>6.84848484848485</v>
      </c>
      <c r="AI37" s="12">
        <f>' B2级比赛 '!AI37*5</f>
        <v>6.64705882352941</v>
      </c>
      <c r="AJ37" s="12">
        <f>' B2级比赛 '!AJ37*5</f>
        <v>6.45714285714286</v>
      </c>
      <c r="AK37" s="12">
        <f>' B2级比赛 '!AK37*5</f>
        <v>6.27777777777778</v>
      </c>
      <c r="AL37" s="12">
        <f>' B2级比赛 '!AL37*5</f>
        <v>6.10810810810811</v>
      </c>
      <c r="AM37" s="12">
        <f>' B2级比赛 '!AM37*5</f>
        <v>5.94736842105263</v>
      </c>
      <c r="AN37" s="12">
        <f>' B2级比赛 '!AN37*5</f>
        <v>5.7948717948718</v>
      </c>
      <c r="AO37" s="12">
        <f>' B2级比赛 '!AO37*5</f>
        <v>5.65</v>
      </c>
      <c r="AP37" s="21">
        <f>' B2级比赛 '!AP37*5</f>
        <v>1072.41739346629</v>
      </c>
      <c r="AQ37" s="20">
        <f>' B2级比赛 '!AQ37*5</f>
        <v>8.00311487661409</v>
      </c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23"/>
      <c r="BO37" s="23"/>
      <c r="BP37" s="23"/>
      <c r="BQ37" s="23"/>
      <c r="BR37" s="23"/>
      <c r="BS37" s="23"/>
      <c r="BT37" s="23"/>
      <c r="BU37" s="2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>
      <c r="A38" s="11" t="s">
        <v>100</v>
      </c>
      <c r="B38" s="12">
        <f>' B2级比赛 '!B38*5</f>
        <v>232.5</v>
      </c>
      <c r="C38" s="12">
        <f>' B2级比赛 '!C38*5</f>
        <v>162.75</v>
      </c>
      <c r="D38" s="15">
        <f>' B2级比赛 '!D38*5</f>
        <v>116.25</v>
      </c>
      <c r="E38" s="15">
        <f>' B2级比赛 '!E38*5</f>
        <v>81.375</v>
      </c>
      <c r="F38" s="15">
        <f>' B2级比赛 '!F38*5</f>
        <v>46.5</v>
      </c>
      <c r="G38" s="15">
        <f>' B2级比赛 '!G38*5</f>
        <v>38.75</v>
      </c>
      <c r="H38" s="15">
        <f>' B2级比赛 '!H38*5</f>
        <v>33.2142857142857</v>
      </c>
      <c r="I38" s="15">
        <f>' B2级比赛 '!I38*5</f>
        <v>29.0625</v>
      </c>
      <c r="J38" s="15">
        <f>' B2级比赛 '!J38*5</f>
        <v>25.8333333333333</v>
      </c>
      <c r="K38" s="15">
        <f>' B2级比赛 '!K38*5</f>
        <v>23.25</v>
      </c>
      <c r="L38" s="15">
        <f>' B2级比赛 '!L38*5</f>
        <v>21.1363636363636</v>
      </c>
      <c r="M38" s="15">
        <f>' B2级比赛 '!M38*5</f>
        <v>19.375</v>
      </c>
      <c r="N38" s="15">
        <f>' B2级比赛 '!N38*5</f>
        <v>17.8846153846154</v>
      </c>
      <c r="O38" s="15">
        <f>' B2级比赛 '!O38*5</f>
        <v>16.6071428571429</v>
      </c>
      <c r="P38" s="12">
        <f>' B2级比赛 '!P38*5</f>
        <v>15.5</v>
      </c>
      <c r="Q38" s="12">
        <f>' B2级比赛 '!Q38*5</f>
        <v>14.53125</v>
      </c>
      <c r="R38" s="12">
        <f>' B2级比赛 '!R38*5</f>
        <v>13.6764705882353</v>
      </c>
      <c r="S38" s="12">
        <f>' B2级比赛 '!S38*5</f>
        <v>12.9166666666667</v>
      </c>
      <c r="T38" s="12">
        <f>' B2级比赛 '!T38*5</f>
        <v>12.2368421052632</v>
      </c>
      <c r="U38" s="12">
        <f>' B2级比赛 '!U38*5</f>
        <v>11.625</v>
      </c>
      <c r="V38" s="12">
        <f>' B2级比赛 '!V38*5</f>
        <v>11.0714285714286</v>
      </c>
      <c r="W38" s="12">
        <f>' B2级比赛 '!W38*5</f>
        <v>10.5681818181818</v>
      </c>
      <c r="X38" s="12">
        <f>' B2级比赛 '!X38*5</f>
        <v>10.1086956521739</v>
      </c>
      <c r="Y38" s="12">
        <f>' B2级比赛 '!Y38*5</f>
        <v>9.6875</v>
      </c>
      <c r="Z38" s="12">
        <f>' B2级比赛 '!Z38*5</f>
        <v>9.3</v>
      </c>
      <c r="AA38" s="12">
        <f>' B2级比赛 '!AA38*5</f>
        <v>8.94230769230769</v>
      </c>
      <c r="AB38" s="12">
        <f>' B2级比赛 '!AB38*5</f>
        <v>8.61111111111111</v>
      </c>
      <c r="AC38" s="12">
        <f>' B2级比赛 '!AC38*5</f>
        <v>8.30357142857143</v>
      </c>
      <c r="AD38" s="12">
        <f>' B2级比赛 '!AD38*5</f>
        <v>8.01724137931035</v>
      </c>
      <c r="AE38" s="12">
        <f>' B2级比赛 '!AE38*5</f>
        <v>7.75</v>
      </c>
      <c r="AF38" s="12">
        <f>' B2级比赛 '!AF38*5</f>
        <v>7.5</v>
      </c>
      <c r="AG38" s="12">
        <f>' B2级比赛 '!AG38*5</f>
        <v>7.265625</v>
      </c>
      <c r="AH38" s="12">
        <f>' B2级比赛 '!AH38*5</f>
        <v>7.04545454545455</v>
      </c>
      <c r="AI38" s="12">
        <f>' B2级比赛 '!AI38*5</f>
        <v>6.83823529411765</v>
      </c>
      <c r="AJ38" s="12">
        <f>' B2级比赛 '!AJ38*5</f>
        <v>6.64285714285714</v>
      </c>
      <c r="AK38" s="12">
        <f>' B2级比赛 '!AK38*5</f>
        <v>6.45833333333333</v>
      </c>
      <c r="AL38" s="12">
        <f>' B2级比赛 '!AL38*5</f>
        <v>6.28378378378378</v>
      </c>
      <c r="AM38" s="12">
        <f>' B2级比赛 '!AM38*5</f>
        <v>6.11842105263158</v>
      </c>
      <c r="AN38" s="12">
        <f>' B2级比赛 '!AN38*5</f>
        <v>5.96153846153846</v>
      </c>
      <c r="AO38" s="12">
        <f>' B2级比赛 '!AO38*5</f>
        <v>5.8125</v>
      </c>
      <c r="AP38" s="12">
        <f>' B2级比赛 '!AP38*5</f>
        <v>5.67073170731705</v>
      </c>
      <c r="AQ38" s="21">
        <f>' B2级比赛 '!AQ38*5</f>
        <v>1108.93198826002</v>
      </c>
      <c r="AR38" s="20">
        <f>' B2级比赛 '!AR38*5</f>
        <v>7.9779279730937</v>
      </c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21"/>
      <c r="BH38" s="18"/>
      <c r="BI38" s="18"/>
      <c r="BJ38" s="18"/>
      <c r="BK38" s="18"/>
      <c r="BL38" s="18"/>
      <c r="BM38" s="18"/>
      <c r="BN38" s="23"/>
      <c r="BO38" s="23"/>
      <c r="BP38" s="23"/>
      <c r="BQ38" s="23"/>
      <c r="BR38" s="23"/>
      <c r="BS38" s="23"/>
      <c r="BT38" s="23"/>
      <c r="BU38" s="2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>
      <c r="A39" s="11" t="s">
        <v>101</v>
      </c>
      <c r="B39" s="12">
        <f>' B2级比赛 '!B39*5</f>
        <v>240</v>
      </c>
      <c r="C39" s="12">
        <f>' B2级比赛 '!C39*5</f>
        <v>168</v>
      </c>
      <c r="D39" s="15">
        <f>' B2级比赛 '!D39*5</f>
        <v>120</v>
      </c>
      <c r="E39" s="15">
        <f>' B2级比赛 '!E39*5</f>
        <v>84</v>
      </c>
      <c r="F39" s="15">
        <f>' B2级比赛 '!F39*5</f>
        <v>48</v>
      </c>
      <c r="G39" s="15">
        <f>' B2级比赛 '!G39*5</f>
        <v>40</v>
      </c>
      <c r="H39" s="15">
        <f>' B2级比赛 '!H39*5</f>
        <v>34.2857142857143</v>
      </c>
      <c r="I39" s="15">
        <f>' B2级比赛 '!I39*5</f>
        <v>30</v>
      </c>
      <c r="J39" s="15">
        <f>' B2级比赛 '!J39*5</f>
        <v>26.6666666666667</v>
      </c>
      <c r="K39" s="15">
        <f>' B2级比赛 '!K39*5</f>
        <v>24</v>
      </c>
      <c r="L39" s="15">
        <f>' B2级比赛 '!L39*5</f>
        <v>21.8181818181818</v>
      </c>
      <c r="M39" s="15">
        <f>' B2级比赛 '!M39*5</f>
        <v>20</v>
      </c>
      <c r="N39" s="15">
        <f>' B2级比赛 '!N39*5</f>
        <v>18.4615384615385</v>
      </c>
      <c r="O39" s="15">
        <f>' B2级比赛 '!O39*5</f>
        <v>17.1428571428571</v>
      </c>
      <c r="P39" s="12">
        <f>' B2级比赛 '!P39*5</f>
        <v>16</v>
      </c>
      <c r="Q39" s="12">
        <f>' B2级比赛 '!Q39*5</f>
        <v>15</v>
      </c>
      <c r="R39" s="12">
        <f>' B2级比赛 '!R39*5</f>
        <v>14.1176470588235</v>
      </c>
      <c r="S39" s="12">
        <f>' B2级比赛 '!S39*5</f>
        <v>13.3333333333333</v>
      </c>
      <c r="T39" s="12">
        <f>' B2级比赛 '!T39*5</f>
        <v>12.6315789473684</v>
      </c>
      <c r="U39" s="12">
        <f>' B2级比赛 '!U39*5</f>
        <v>12</v>
      </c>
      <c r="V39" s="12">
        <f>' B2级比赛 '!V39*5</f>
        <v>11.4285714285714</v>
      </c>
      <c r="W39" s="12">
        <f>' B2级比赛 '!W39*5</f>
        <v>10.9090909090909</v>
      </c>
      <c r="X39" s="12">
        <f>' B2级比赛 '!X39*5</f>
        <v>10.4347826086957</v>
      </c>
      <c r="Y39" s="12">
        <f>' B2级比赛 '!Y39*5</f>
        <v>10</v>
      </c>
      <c r="Z39" s="12">
        <f>' B2级比赛 '!Z39*5</f>
        <v>9.6</v>
      </c>
      <c r="AA39" s="12">
        <f>' B2级比赛 '!AA39*5</f>
        <v>9.23076923076923</v>
      </c>
      <c r="AB39" s="12">
        <f>' B2级比赛 '!AB39*5</f>
        <v>8.88888888888889</v>
      </c>
      <c r="AC39" s="12">
        <f>' B2级比赛 '!AC39*5</f>
        <v>8.57142857142857</v>
      </c>
      <c r="AD39" s="12">
        <f>' B2级比赛 '!AD39*5</f>
        <v>8.27586206896552</v>
      </c>
      <c r="AE39" s="12">
        <f>' B2级比赛 '!AE39*5</f>
        <v>8</v>
      </c>
      <c r="AF39" s="12">
        <f>' B2级比赛 '!AF39*5</f>
        <v>7.74193548387097</v>
      </c>
      <c r="AG39" s="12">
        <f>' B2级比赛 '!AG39*5</f>
        <v>7.5</v>
      </c>
      <c r="AH39" s="12">
        <f>' B2级比赛 '!AH39*5</f>
        <v>7.27272727272727</v>
      </c>
      <c r="AI39" s="12">
        <f>' B2级比赛 '!AI39*5</f>
        <v>7.05882352941177</v>
      </c>
      <c r="AJ39" s="12">
        <f>' B2级比赛 '!AJ39*5</f>
        <v>6.85714285714286</v>
      </c>
      <c r="AK39" s="12">
        <f>' B2级比赛 '!AK39*5</f>
        <v>6.66666666666667</v>
      </c>
      <c r="AL39" s="12">
        <f>' B2级比赛 '!AL39*5</f>
        <v>6.48648648648649</v>
      </c>
      <c r="AM39" s="12">
        <f>' B2级比赛 '!AM39*5</f>
        <v>6.31578947368421</v>
      </c>
      <c r="AN39" s="12">
        <f>' B2级比赛 '!AN39*5</f>
        <v>6.15384615384615</v>
      </c>
      <c r="AO39" s="12">
        <f>' B2级比赛 '!AO39*5</f>
        <v>6</v>
      </c>
      <c r="AP39" s="12">
        <f>' B2级比赛 '!AP39*5</f>
        <v>5.85365853658537</v>
      </c>
      <c r="AQ39" s="12">
        <f>' B2级比赛 '!AQ39*5</f>
        <v>5.7142857142857</v>
      </c>
      <c r="AR39" s="12">
        <f>' B2级比赛 '!AR39*5</f>
        <v>5.5813953488372</v>
      </c>
      <c r="AS39" s="21">
        <f>' B2级比赛 '!AS39*5</f>
        <v>1155.99966894444</v>
      </c>
      <c r="AT39" s="20">
        <f>' B2级比赛 '!AT39*5</f>
        <v>8.02777547878082</v>
      </c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23"/>
      <c r="BO39" s="23"/>
      <c r="BP39" s="23"/>
      <c r="BQ39" s="23"/>
      <c r="BR39" s="23"/>
      <c r="BS39" s="23"/>
      <c r="BT39" s="23"/>
      <c r="BU39" s="2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>
      <c r="A40" s="11" t="s">
        <v>102</v>
      </c>
      <c r="B40" s="12">
        <f>' B2级比赛 '!B40*5</f>
        <v>247.5</v>
      </c>
      <c r="C40" s="12">
        <f>' B2级比赛 '!C40*5</f>
        <v>173.25</v>
      </c>
      <c r="D40" s="15">
        <f>' B2级比赛 '!D40*5</f>
        <v>123.75</v>
      </c>
      <c r="E40" s="15">
        <f>' B2级比赛 '!E40*5</f>
        <v>86.625</v>
      </c>
      <c r="F40" s="15">
        <f>' B2级比赛 '!F40*5</f>
        <v>49.5</v>
      </c>
      <c r="G40" s="15">
        <f>' B2级比赛 '!G40*5</f>
        <v>41.25</v>
      </c>
      <c r="H40" s="15">
        <f>' B2级比赛 '!H40*5</f>
        <v>35.3571428571429</v>
      </c>
      <c r="I40" s="15">
        <f>' B2级比赛 '!I40*5</f>
        <v>30.9375</v>
      </c>
      <c r="J40" s="15">
        <f>' B2级比赛 '!J40*5</f>
        <v>27.5</v>
      </c>
      <c r="K40" s="15">
        <f>' B2级比赛 '!K40*5</f>
        <v>24.75</v>
      </c>
      <c r="L40" s="15">
        <f>' B2级比赛 '!L40*5</f>
        <v>22.5</v>
      </c>
      <c r="M40" s="15">
        <f>' B2级比赛 '!M40*5</f>
        <v>20.625</v>
      </c>
      <c r="N40" s="15">
        <f>' B2级比赛 '!N40*5</f>
        <v>19.0384615384615</v>
      </c>
      <c r="O40" s="15">
        <f>' B2级比赛 '!O40*5</f>
        <v>17.6785714285714</v>
      </c>
      <c r="P40" s="12">
        <f>' B2级比赛 '!P40*5</f>
        <v>16.5</v>
      </c>
      <c r="Q40" s="12">
        <f>' B2级比赛 '!Q40*5</f>
        <v>15.46875</v>
      </c>
      <c r="R40" s="12">
        <f>' B2级比赛 '!R40*5</f>
        <v>14.5588235294118</v>
      </c>
      <c r="S40" s="12">
        <f>' B2级比赛 '!S40*5</f>
        <v>13.75</v>
      </c>
      <c r="T40" s="12">
        <f>' B2级比赛 '!T40*5</f>
        <v>13.0263157894737</v>
      </c>
      <c r="U40" s="12">
        <f>' B2级比赛 '!U40*5</f>
        <v>12.375</v>
      </c>
      <c r="V40" s="12">
        <f>' B2级比赛 '!V40*5</f>
        <v>11.7857142857143</v>
      </c>
      <c r="W40" s="12">
        <f>' B2级比赛 '!W40*5</f>
        <v>11.25</v>
      </c>
      <c r="X40" s="12">
        <f>' B2级比赛 '!X40*5</f>
        <v>10.7608695652174</v>
      </c>
      <c r="Y40" s="12">
        <f>' B2级比赛 '!Y40*5</f>
        <v>10.3125</v>
      </c>
      <c r="Z40" s="12">
        <f>' B2级比赛 '!Z40*5</f>
        <v>9.9</v>
      </c>
      <c r="AA40" s="12">
        <f>' B2级比赛 '!AA40*5</f>
        <v>9.51923076923077</v>
      </c>
      <c r="AB40" s="12">
        <f>' B2级比赛 '!AB40*5</f>
        <v>9.16666666666667</v>
      </c>
      <c r="AC40" s="12">
        <f>' B2级比赛 '!AC40*5</f>
        <v>8.83928571428571</v>
      </c>
      <c r="AD40" s="12">
        <f>' B2级比赛 '!AD40*5</f>
        <v>8.53448275862069</v>
      </c>
      <c r="AE40" s="12">
        <f>' B2级比赛 '!AE40*5</f>
        <v>8.25</v>
      </c>
      <c r="AF40" s="12">
        <f>' B2级比赛 '!AF40*5</f>
        <v>7.98387096774194</v>
      </c>
      <c r="AG40" s="12">
        <f>' B2级比赛 '!AG40*5</f>
        <v>7.734375</v>
      </c>
      <c r="AH40" s="12">
        <f>' B2级比赛 '!AH40*5</f>
        <v>7.5</v>
      </c>
      <c r="AI40" s="12">
        <f>' B2级比赛 '!AI40*5</f>
        <v>7.27941176470588</v>
      </c>
      <c r="AJ40" s="12">
        <f>' B2级比赛 '!AJ40*5</f>
        <v>7.07142857142857</v>
      </c>
      <c r="AK40" s="12">
        <f>' B2级比赛 '!AK40*5</f>
        <v>6.875</v>
      </c>
      <c r="AL40" s="12">
        <f>' B2级比赛 '!AL40*5</f>
        <v>6.68918918918919</v>
      </c>
      <c r="AM40" s="12">
        <f>' B2级比赛 '!AM40*5</f>
        <v>6.51315789473684</v>
      </c>
      <c r="AN40" s="12">
        <f>' B2级比赛 '!AN40*5</f>
        <v>6.34615384615385</v>
      </c>
      <c r="AO40" s="12">
        <f>' B2级比赛 '!AO40*5</f>
        <v>6.1875</v>
      </c>
      <c r="AP40" s="12">
        <f>' B2级比赛 '!AP40*5</f>
        <v>6.03658536585366</v>
      </c>
      <c r="AQ40" s="12">
        <f>' B2级比赛 '!AQ40*5</f>
        <v>5.89285714285714</v>
      </c>
      <c r="AR40" s="12">
        <f>' B2级比赛 '!AR40*5</f>
        <v>5.75581395348837</v>
      </c>
      <c r="AS40" s="12">
        <f>' B2级比赛 '!AS40*5</f>
        <v>5.625</v>
      </c>
      <c r="AT40" s="21">
        <f>' B2级比赛 '!AT40*5</f>
        <v>1197.74965859895</v>
      </c>
      <c r="AU40" s="20">
        <f>' B2级比赛 '!AU40*5</f>
        <v>8.03858831274465</v>
      </c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23"/>
      <c r="BO40" s="23"/>
      <c r="BP40" s="23"/>
      <c r="BQ40" s="23"/>
      <c r="BR40" s="23"/>
      <c r="BS40" s="23"/>
      <c r="BT40" s="23"/>
      <c r="BU40" s="2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>
      <c r="A41" s="11" t="s">
        <v>103</v>
      </c>
      <c r="B41" s="12">
        <f>' B2级比赛 '!B41*5</f>
        <v>254</v>
      </c>
      <c r="C41" s="12">
        <f>' B2级比赛 '!C41*5</f>
        <v>177.8</v>
      </c>
      <c r="D41" s="15">
        <f>' B2级比赛 '!D41*5</f>
        <v>127</v>
      </c>
      <c r="E41" s="15">
        <f>' B2级比赛 '!E41*5</f>
        <v>88.9</v>
      </c>
      <c r="F41" s="15">
        <f>' B2级比赛 '!F41*5</f>
        <v>50.8</v>
      </c>
      <c r="G41" s="15">
        <f>' B2级比赛 '!G41*5</f>
        <v>42.3333333333333</v>
      </c>
      <c r="H41" s="15">
        <f>' B2级比赛 '!H41*5</f>
        <v>36.2857142857143</v>
      </c>
      <c r="I41" s="15">
        <f>' B2级比赛 '!I41*5</f>
        <v>31.75</v>
      </c>
      <c r="J41" s="15">
        <f>' B2级比赛 '!J41*5</f>
        <v>28.2222222222222</v>
      </c>
      <c r="K41" s="15">
        <f>' B2级比赛 '!K41*5</f>
        <v>25.4</v>
      </c>
      <c r="L41" s="15">
        <f>' B2级比赛 '!L41*5</f>
        <v>23.0909090909091</v>
      </c>
      <c r="M41" s="15">
        <f>' B2级比赛 '!M41*5</f>
        <v>21.1666666666667</v>
      </c>
      <c r="N41" s="15">
        <f>' B2级比赛 '!N41*5</f>
        <v>19.5384615384615</v>
      </c>
      <c r="O41" s="15">
        <f>' B2级比赛 '!O41*5</f>
        <v>18.1428571428571</v>
      </c>
      <c r="P41" s="12">
        <f>' B2级比赛 '!P41*5</f>
        <v>16.9333333333333</v>
      </c>
      <c r="Q41" s="12">
        <f>' B2级比赛 '!Q41*5</f>
        <v>15.875</v>
      </c>
      <c r="R41" s="12">
        <f>' B2级比赛 '!R41*5</f>
        <v>14.9411764705882</v>
      </c>
      <c r="S41" s="12">
        <f>' B2级比赛 '!S41*5</f>
        <v>14.1111111111111</v>
      </c>
      <c r="T41" s="12">
        <f>' B2级比赛 '!T41*5</f>
        <v>13.3684210526316</v>
      </c>
      <c r="U41" s="12">
        <f>' B2级比赛 '!U41*5</f>
        <v>12.7</v>
      </c>
      <c r="V41" s="12">
        <f>' B2级比赛 '!V41*5</f>
        <v>12.0952380952381</v>
      </c>
      <c r="W41" s="12">
        <f>' B2级比赛 '!W41*5</f>
        <v>11.5454545454545</v>
      </c>
      <c r="X41" s="12">
        <f>' B2级比赛 '!X41*5</f>
        <v>11.0434782608696</v>
      </c>
      <c r="Y41" s="12">
        <f>' B2级比赛 '!Y41*5</f>
        <v>10.5833333333333</v>
      </c>
      <c r="Z41" s="12">
        <f>' B2级比赛 '!Z41*5</f>
        <v>10.16</v>
      </c>
      <c r="AA41" s="12">
        <f>' B2级比赛 '!AA41*5</f>
        <v>9.76923076923077</v>
      </c>
      <c r="AB41" s="12">
        <f>' B2级比赛 '!AB41*5</f>
        <v>9.40740740740741</v>
      </c>
      <c r="AC41" s="12">
        <f>' B2级比赛 '!AC41*5</f>
        <v>9.07142857142857</v>
      </c>
      <c r="AD41" s="12">
        <f>' B2级比赛 '!AD41*5</f>
        <v>8.75862068965517</v>
      </c>
      <c r="AE41" s="12">
        <f>' B2级比赛 '!AE41*5</f>
        <v>8.46666666666666</v>
      </c>
      <c r="AF41" s="12">
        <f>' B2级比赛 '!AF41*5</f>
        <v>8.19354838709677</v>
      </c>
      <c r="AG41" s="12">
        <f>' B2级比赛 '!AG41*5</f>
        <v>7.9375</v>
      </c>
      <c r="AH41" s="12">
        <f>' B2级比赛 '!AH41*5</f>
        <v>7.6969696969697</v>
      </c>
      <c r="AI41" s="12">
        <f>' B2级比赛 '!AI41*5</f>
        <v>7.47058823529412</v>
      </c>
      <c r="AJ41" s="12">
        <f>' B2级比赛 '!AJ41*5</f>
        <v>7.25714285714286</v>
      </c>
      <c r="AK41" s="12">
        <f>' B2级比赛 '!AK41*5</f>
        <v>7.05555555555556</v>
      </c>
      <c r="AL41" s="12">
        <f>' B2级比赛 '!AL41*5</f>
        <v>6.86486486486486</v>
      </c>
      <c r="AM41" s="12">
        <f>' B2级比赛 '!AM41*5</f>
        <v>6.68421052631579</v>
      </c>
      <c r="AN41" s="12">
        <f>' B2级比赛 '!AN41*5</f>
        <v>6.51282051282051</v>
      </c>
      <c r="AO41" s="12">
        <f>' B2级比赛 '!AO41*5</f>
        <v>6.35</v>
      </c>
      <c r="AP41" s="12">
        <f>' B2级比赛 '!AP41*5</f>
        <v>6.19512195121951</v>
      </c>
      <c r="AQ41" s="12">
        <f>' B2级比赛 '!AQ41*5</f>
        <v>6.04761904761905</v>
      </c>
      <c r="AR41" s="12">
        <f>' B2级比赛 '!AR41*5</f>
        <v>5.90697674418605</v>
      </c>
      <c r="AS41" s="12">
        <f>' B2级比赛 '!AS41*5</f>
        <v>5.77272727272727</v>
      </c>
      <c r="AT41" s="12">
        <f>' B2级比赛 '!AT41*5</f>
        <v>5.64444444444445</v>
      </c>
      <c r="AU41" s="21">
        <f>' B2级比赛 '!AU41*5</f>
        <v>1234.85015468337</v>
      </c>
      <c r="AV41" s="20">
        <f>' B2级比赛 '!AV41*5</f>
        <v>8.01850749794396</v>
      </c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23"/>
      <c r="BO41" s="23"/>
      <c r="BP41" s="23"/>
      <c r="BQ41" s="23"/>
      <c r="BR41" s="23"/>
      <c r="BS41" s="23"/>
      <c r="BT41" s="23"/>
      <c r="BU41" s="2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>
      <c r="A42" s="11" t="s">
        <v>104</v>
      </c>
      <c r="B42" s="12">
        <f>' B2级比赛 '!B42*5</f>
        <v>260</v>
      </c>
      <c r="C42" s="12">
        <f>' B2级比赛 '!C42*5</f>
        <v>182</v>
      </c>
      <c r="D42" s="15">
        <f>' B2级比赛 '!D42*5</f>
        <v>130</v>
      </c>
      <c r="E42" s="15">
        <f>' B2级比赛 '!E42*5</f>
        <v>91</v>
      </c>
      <c r="F42" s="15">
        <f>' B2级比赛 '!F42*5</f>
        <v>52</v>
      </c>
      <c r="G42" s="15">
        <f>' B2级比赛 '!G42*5</f>
        <v>43.3333333333333</v>
      </c>
      <c r="H42" s="15">
        <f>' B2级比赛 '!H42*5</f>
        <v>37.1428571428571</v>
      </c>
      <c r="I42" s="15">
        <f>' B2级比赛 '!I42*5</f>
        <v>32.5</v>
      </c>
      <c r="J42" s="15">
        <f>' B2级比赛 '!J42*5</f>
        <v>28.8888888888889</v>
      </c>
      <c r="K42" s="15">
        <f>' B2级比赛 '!K42*5</f>
        <v>26</v>
      </c>
      <c r="L42" s="15">
        <f>' B2级比赛 '!L42*5</f>
        <v>23.6363636363636</v>
      </c>
      <c r="M42" s="15">
        <f>' B2级比赛 '!M42*5</f>
        <v>21.6666666666667</v>
      </c>
      <c r="N42" s="15">
        <f>' B2级比赛 '!N42*5</f>
        <v>20</v>
      </c>
      <c r="O42" s="15">
        <f>' B2级比赛 '!O42*5</f>
        <v>18.5714285714286</v>
      </c>
      <c r="P42" s="12">
        <f>' B2级比赛 '!P42*5</f>
        <v>17.3333333333333</v>
      </c>
      <c r="Q42" s="12">
        <f>' B2级比赛 '!Q42*5</f>
        <v>16.25</v>
      </c>
      <c r="R42" s="12">
        <f>' B2级比赛 '!R42*5</f>
        <v>15.2941176470588</v>
      </c>
      <c r="S42" s="12">
        <f>' B2级比赛 '!S42*5</f>
        <v>14.4444444444444</v>
      </c>
      <c r="T42" s="12">
        <f>' B2级比赛 '!T42*5</f>
        <v>13.6842105263158</v>
      </c>
      <c r="U42" s="12">
        <f>' B2级比赛 '!U42*5</f>
        <v>13</v>
      </c>
      <c r="V42" s="12">
        <f>' B2级比赛 '!V42*5</f>
        <v>12.3809523809524</v>
      </c>
      <c r="W42" s="12">
        <f>' B2级比赛 '!W42*5</f>
        <v>11.8181818181818</v>
      </c>
      <c r="X42" s="12">
        <f>' B2级比赛 '!X42*5</f>
        <v>11.304347826087</v>
      </c>
      <c r="Y42" s="12">
        <f>' B2级比赛 '!Y42*5</f>
        <v>10.8333333333333</v>
      </c>
      <c r="Z42" s="12">
        <f>' B2级比赛 '!Z42*5</f>
        <v>10.4</v>
      </c>
      <c r="AA42" s="12">
        <f>' B2级比赛 '!AA42*5</f>
        <v>10</v>
      </c>
      <c r="AB42" s="12">
        <f>' B2级比赛 '!AB42*5</f>
        <v>9.62962962962963</v>
      </c>
      <c r="AC42" s="12">
        <f>' B2级比赛 '!AC42*5</f>
        <v>9.28571428571429</v>
      </c>
      <c r="AD42" s="12">
        <f>' B2级比赛 '!AD42*5</f>
        <v>8.96551724137931</v>
      </c>
      <c r="AE42" s="12">
        <f>' B2级比赛 '!AE42*5</f>
        <v>8.66666666666667</v>
      </c>
      <c r="AF42" s="12">
        <f>' B2级比赛 '!AF42*5</f>
        <v>8.38709677419355</v>
      </c>
      <c r="AG42" s="12">
        <f>' B2级比赛 '!AG42*5</f>
        <v>8.125</v>
      </c>
      <c r="AH42" s="12">
        <f>' B2级比赛 '!AH42*5</f>
        <v>7.87878787878788</v>
      </c>
      <c r="AI42" s="12">
        <f>' B2级比赛 '!AI42*5</f>
        <v>7.64705882352941</v>
      </c>
      <c r="AJ42" s="12">
        <f>' B2级比赛 '!AJ42*5</f>
        <v>7.42857142857143</v>
      </c>
      <c r="AK42" s="12">
        <f>' B2级比赛 '!AK42*5</f>
        <v>7.22222222222222</v>
      </c>
      <c r="AL42" s="12">
        <f>' B2级比赛 '!AL42*5</f>
        <v>7.02702702702703</v>
      </c>
      <c r="AM42" s="12">
        <f>' B2级比赛 '!AM42*5</f>
        <v>6.84210526315789</v>
      </c>
      <c r="AN42" s="12">
        <f>' B2级比赛 '!AN42*5</f>
        <v>6.66666666666667</v>
      </c>
      <c r="AO42" s="12">
        <f>' B2级比赛 '!AO42*5</f>
        <v>6.5</v>
      </c>
      <c r="AP42" s="12">
        <f>' B2级比赛 '!AP42*5</f>
        <v>6.34146341463415</v>
      </c>
      <c r="AQ42" s="12">
        <f>' B2级比赛 '!AQ42*5</f>
        <v>6.19047619047619</v>
      </c>
      <c r="AR42" s="12">
        <f>' B2级比赛 '!AR42*5</f>
        <v>6.04651162790698</v>
      </c>
      <c r="AS42" s="12">
        <f>' B2级比赛 '!AS42*5</f>
        <v>5.90909090909091</v>
      </c>
      <c r="AT42" s="12">
        <f>' B2级比赛 '!AT42*5</f>
        <v>5.77777777777778</v>
      </c>
      <c r="AU42" s="12">
        <f>' B2级比赛 '!AU42*5</f>
        <v>5.6521739130435</v>
      </c>
      <c r="AV42" s="12">
        <f>' B2级比赛 '!AV42*5</f>
        <v>5.531914893617</v>
      </c>
      <c r="AW42" s="21">
        <f>' B2级比赛 '!AW42*5</f>
        <v>1275.20393218334</v>
      </c>
      <c r="AX42" s="20">
        <f>' B2级比赛 '!AX42*5</f>
        <v>8.02015051687634</v>
      </c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23"/>
      <c r="BO42" s="23"/>
      <c r="BP42" s="23"/>
      <c r="BQ42" s="23"/>
      <c r="BR42" s="23"/>
      <c r="BS42" s="23"/>
      <c r="BT42" s="23"/>
      <c r="BU42" s="2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>
      <c r="A43" s="11" t="s">
        <v>105</v>
      </c>
      <c r="B43" s="12">
        <f>' B2级比赛 '!B43*5</f>
        <v>266</v>
      </c>
      <c r="C43" s="12">
        <f>' B2级比赛 '!C43*5</f>
        <v>186.2</v>
      </c>
      <c r="D43" s="15">
        <f>' B2级比赛 '!D43*5</f>
        <v>133</v>
      </c>
      <c r="E43" s="15">
        <f>' B2级比赛 '!E43*5</f>
        <v>93.1</v>
      </c>
      <c r="F43" s="15">
        <f>' B2级比赛 '!F43*5</f>
        <v>53.2</v>
      </c>
      <c r="G43" s="15">
        <f>' B2级比赛 '!G43*5</f>
        <v>44.3333333333333</v>
      </c>
      <c r="H43" s="15">
        <f>' B2级比赛 '!H43*5</f>
        <v>38</v>
      </c>
      <c r="I43" s="15">
        <f>' B2级比赛 '!I43*5</f>
        <v>33.25</v>
      </c>
      <c r="J43" s="15">
        <f>' B2级比赛 '!J43*5</f>
        <v>29.5555555555556</v>
      </c>
      <c r="K43" s="15">
        <f>' B2级比赛 '!K43*5</f>
        <v>26.6</v>
      </c>
      <c r="L43" s="15">
        <f>' B2级比赛 '!L43*5</f>
        <v>24.1818181818182</v>
      </c>
      <c r="M43" s="15">
        <f>' B2级比赛 '!M43*5</f>
        <v>22.1666666666667</v>
      </c>
      <c r="N43" s="15">
        <f>' B2级比赛 '!N43*5</f>
        <v>20.4615384615385</v>
      </c>
      <c r="O43" s="15">
        <f>' B2级比赛 '!O43*5</f>
        <v>19</v>
      </c>
      <c r="P43" s="12">
        <f>' B2级比赛 '!P43*5</f>
        <v>17.7333333333333</v>
      </c>
      <c r="Q43" s="12">
        <f>' B2级比赛 '!Q43*5</f>
        <v>16.625</v>
      </c>
      <c r="R43" s="12">
        <f>' B2级比赛 '!R43*5</f>
        <v>15.6470588235294</v>
      </c>
      <c r="S43" s="12">
        <f>' B2级比赛 '!S43*5</f>
        <v>14.7777777777778</v>
      </c>
      <c r="T43" s="12">
        <f>' B2级比赛 '!T43*5</f>
        <v>14</v>
      </c>
      <c r="U43" s="12">
        <f>' B2级比赛 '!U43*5</f>
        <v>13.3</v>
      </c>
      <c r="V43" s="12">
        <f>' B2级比赛 '!V43*5</f>
        <v>12.6666666666667</v>
      </c>
      <c r="W43" s="12">
        <f>' B2级比赛 '!W43*5</f>
        <v>12.0909090909091</v>
      </c>
      <c r="X43" s="12">
        <f>' B2级比赛 '!X43*5</f>
        <v>11.5652173913043</v>
      </c>
      <c r="Y43" s="12">
        <f>' B2级比赛 '!Y43*5</f>
        <v>11.0833333333333</v>
      </c>
      <c r="Z43" s="12">
        <f>' B2级比赛 '!Z43*5</f>
        <v>10.64</v>
      </c>
      <c r="AA43" s="12">
        <f>' B2级比赛 '!AA43*5</f>
        <v>10.2307692307692</v>
      </c>
      <c r="AB43" s="12">
        <f>' B2级比赛 '!AB43*5</f>
        <v>9.85185185185185</v>
      </c>
      <c r="AC43" s="12">
        <f>' B2级比赛 '!AC43*5</f>
        <v>9.5</v>
      </c>
      <c r="AD43" s="12">
        <f>' B2级比赛 '!AD43*5</f>
        <v>9.17241379310345</v>
      </c>
      <c r="AE43" s="12">
        <f>' B2级比赛 '!AE43*5</f>
        <v>8.86666666666667</v>
      </c>
      <c r="AF43" s="12">
        <f>' B2级比赛 '!AF43*5</f>
        <v>8.58064516129032</v>
      </c>
      <c r="AG43" s="12">
        <f>' B2级比赛 '!AG43*5</f>
        <v>8.3125</v>
      </c>
      <c r="AH43" s="12">
        <f>' B2级比赛 '!AH43*5</f>
        <v>8.06060606060606</v>
      </c>
      <c r="AI43" s="12">
        <f>' B2级比赛 '!AI43*5</f>
        <v>7.82352941176471</v>
      </c>
      <c r="AJ43" s="12">
        <f>' B2级比赛 '!AJ43*5</f>
        <v>7.6</v>
      </c>
      <c r="AK43" s="12">
        <f>' B2级比赛 '!AK43*5</f>
        <v>7.38888888888889</v>
      </c>
      <c r="AL43" s="12">
        <f>' B2级比赛 '!AL43*5</f>
        <v>7.18918918918919</v>
      </c>
      <c r="AM43" s="12">
        <f>' B2级比赛 '!AM43*5</f>
        <v>7</v>
      </c>
      <c r="AN43" s="12">
        <f>' B2级比赛 '!AN43*5</f>
        <v>6.82051282051282</v>
      </c>
      <c r="AO43" s="12">
        <f>' B2级比赛 '!AO43*5</f>
        <v>6.65</v>
      </c>
      <c r="AP43" s="12">
        <f>' B2级比赛 '!AP43*5</f>
        <v>6.48780487804878</v>
      </c>
      <c r="AQ43" s="12">
        <f>' B2级比赛 '!AQ43*5</f>
        <v>6.33333333333333</v>
      </c>
      <c r="AR43" s="12">
        <f>' B2级比赛 '!AR43*5</f>
        <v>6.18604651162791</v>
      </c>
      <c r="AS43" s="12">
        <f>' B2级比赛 '!AS43*5</f>
        <v>6.04545454545455</v>
      </c>
      <c r="AT43" s="12">
        <f>' B2级比赛 '!AT43*5</f>
        <v>5.91111111111111</v>
      </c>
      <c r="AU43" s="12">
        <f>' B2级比赛 '!AU43*5</f>
        <v>5.78260869565217</v>
      </c>
      <c r="AV43" s="12">
        <f>' B2级比赛 '!AV43*5</f>
        <v>5.65957446808511</v>
      </c>
      <c r="AW43" s="12">
        <f>' B2级比赛 '!AW43*5</f>
        <v>5.54166666666665</v>
      </c>
      <c r="AX43" s="12">
        <f>' B2级比赛 '!AX43*5</f>
        <v>5.42857142857145</v>
      </c>
      <c r="AY43" s="21">
        <f>' B2级比赛 '!AY43*5</f>
        <v>1315.60195332896</v>
      </c>
      <c r="AZ43" s="20">
        <f>' B2级比赛 '!AZ43*5</f>
        <v>8.02196313005464</v>
      </c>
      <c r="BA43" s="18"/>
      <c r="BB43" s="18"/>
      <c r="BC43" s="18"/>
      <c r="BD43" s="18"/>
      <c r="BE43" s="18"/>
      <c r="BF43" s="18">
        <f>' B2级比赛 '!BF43*5</f>
        <v>0</v>
      </c>
      <c r="BG43" s="18">
        <f>' B2级比赛 '!BG43*5</f>
        <v>0</v>
      </c>
      <c r="BH43" s="18"/>
      <c r="BI43" s="18"/>
      <c r="BJ43" s="18"/>
      <c r="BK43" s="18"/>
      <c r="BL43" s="18"/>
      <c r="BM43" s="18"/>
      <c r="BN43" s="23"/>
      <c r="BO43" s="23"/>
      <c r="BP43" s="23"/>
      <c r="BQ43" s="23"/>
      <c r="BR43" s="23"/>
      <c r="BS43" s="23"/>
      <c r="BT43" s="23"/>
      <c r="BU43" s="2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>
      <c r="A44" s="11" t="s">
        <v>106</v>
      </c>
      <c r="B44" s="12">
        <f>' B2级比赛 '!B44*5</f>
        <v>272.5</v>
      </c>
      <c r="C44" s="12">
        <f>' B2级比赛 '!C44*5</f>
        <v>190.75</v>
      </c>
      <c r="D44" s="15">
        <f>' B2级比赛 '!D44*5</f>
        <v>136.25</v>
      </c>
      <c r="E44" s="15">
        <f>' B2级比赛 '!E44*5</f>
        <v>95.375</v>
      </c>
      <c r="F44" s="15">
        <f>' B2级比赛 '!F44*5</f>
        <v>54.5</v>
      </c>
      <c r="G44" s="15">
        <f>' B2级比赛 '!G44*5</f>
        <v>45.4166666666667</v>
      </c>
      <c r="H44" s="15">
        <f>' B2级比赛 '!H44*5</f>
        <v>38.9285714285714</v>
      </c>
      <c r="I44" s="15">
        <f>' B2级比赛 '!I44*5</f>
        <v>34.0625</v>
      </c>
      <c r="J44" s="15">
        <f>' B2级比赛 '!J44*5</f>
        <v>30.2777777777778</v>
      </c>
      <c r="K44" s="15">
        <f>' B2级比赛 '!K44*5</f>
        <v>27.25</v>
      </c>
      <c r="L44" s="15">
        <f>' B2级比赛 '!L44*5</f>
        <v>24.7727272727273</v>
      </c>
      <c r="M44" s="15">
        <f>' B2级比赛 '!M44*5</f>
        <v>22.7083333333333</v>
      </c>
      <c r="N44" s="15">
        <f>' B2级比赛 '!N44*5</f>
        <v>20.9615384615385</v>
      </c>
      <c r="O44" s="15">
        <f>' B2级比赛 '!O44*5</f>
        <v>19.4642857142857</v>
      </c>
      <c r="P44" s="12">
        <f>' B2级比赛 '!P44*5</f>
        <v>18.1666666666667</v>
      </c>
      <c r="Q44" s="12">
        <f>' B2级比赛 '!Q44*5</f>
        <v>17.03125</v>
      </c>
      <c r="R44" s="12">
        <f>' B2级比赛 '!R44*5</f>
        <v>16.0294117647059</v>
      </c>
      <c r="S44" s="12">
        <f>' B2级比赛 '!S44*5</f>
        <v>15.1388888888889</v>
      </c>
      <c r="T44" s="12">
        <f>' B2级比赛 '!T44*5</f>
        <v>14.3421052631579</v>
      </c>
      <c r="U44" s="12">
        <f>' B2级比赛 '!U44*5</f>
        <v>13.625</v>
      </c>
      <c r="V44" s="12">
        <f>' B2级比赛 '!V44*5</f>
        <v>12.9761904761905</v>
      </c>
      <c r="W44" s="12">
        <f>' B2级比赛 '!W44*5</f>
        <v>12.3863636363636</v>
      </c>
      <c r="X44" s="12">
        <f>' B2级比赛 '!X44*5</f>
        <v>11.8478260869565</v>
      </c>
      <c r="Y44" s="12">
        <f>' B2级比赛 '!Y44*5</f>
        <v>11.3541666666667</v>
      </c>
      <c r="Z44" s="12">
        <f>' B2级比赛 '!Z44*5</f>
        <v>10.9</v>
      </c>
      <c r="AA44" s="12">
        <f>' B2级比赛 '!AA44*5</f>
        <v>10.4807692307692</v>
      </c>
      <c r="AB44" s="12">
        <f>' B2级比赛 '!AB44*5</f>
        <v>10.0925925925926</v>
      </c>
      <c r="AC44" s="12">
        <f>' B2级比赛 '!AC44*5</f>
        <v>9.73214285714286</v>
      </c>
      <c r="AD44" s="12">
        <f>' B2级比赛 '!AD44*5</f>
        <v>9.39655172413793</v>
      </c>
      <c r="AE44" s="12">
        <f>' B2级比赛 '!AE44*5</f>
        <v>9.08333333333333</v>
      </c>
      <c r="AF44" s="12">
        <f>' B2级比赛 '!AF44*5</f>
        <v>8.79032258064516</v>
      </c>
      <c r="AG44" s="12">
        <f>' B2级比赛 '!AG44*5</f>
        <v>8.515625</v>
      </c>
      <c r="AH44" s="12">
        <f>' B2级比赛 '!AH44*5</f>
        <v>8.25757575757576</v>
      </c>
      <c r="AI44" s="12">
        <f>' B2级比赛 '!AI44*5</f>
        <v>8.01470588235294</v>
      </c>
      <c r="AJ44" s="12">
        <f>' B2级比赛 '!AJ44*5</f>
        <v>7.78571428571429</v>
      </c>
      <c r="AK44" s="12">
        <f>' B2级比赛 '!AK44*5</f>
        <v>7.56944444444444</v>
      </c>
      <c r="AL44" s="12">
        <f>' B2级比赛 '!AL44*5</f>
        <v>7.36486486486486</v>
      </c>
      <c r="AM44" s="12">
        <f>' B2级比赛 '!AM44*5</f>
        <v>7.17105263157895</v>
      </c>
      <c r="AN44" s="12">
        <f>' B2级比赛 '!AN44*5</f>
        <v>6.98717948717949</v>
      </c>
      <c r="AO44" s="12">
        <f>' B2级比赛 '!AO44*5</f>
        <v>6.8125</v>
      </c>
      <c r="AP44" s="12">
        <f>' B2级比赛 '!AP44*5</f>
        <v>6.64634146341463</v>
      </c>
      <c r="AQ44" s="12">
        <f>' B2级比赛 '!AQ44*5</f>
        <v>6.48809523809524</v>
      </c>
      <c r="AR44" s="12">
        <f>' B2级比赛 '!AR44*5</f>
        <v>6.33720930232558</v>
      </c>
      <c r="AS44" s="12">
        <f>' B2级比赛 '!AS44*5</f>
        <v>6.19318181818182</v>
      </c>
      <c r="AT44" s="12">
        <f>' B2级比赛 '!AT44*5</f>
        <v>6.05555555555556</v>
      </c>
      <c r="AU44" s="12">
        <f>' B2级比赛 '!AU44*5</f>
        <v>5.92391304347826</v>
      </c>
      <c r="AV44" s="12">
        <f>' B2级比赛 '!AV44*5</f>
        <v>5.79787234042553</v>
      </c>
      <c r="AW44" s="12">
        <f>' B2级比赛 '!AW44*5</f>
        <v>5.67708333333333</v>
      </c>
      <c r="AX44" s="12">
        <f>' B2级比赛 '!AX44*5</f>
        <v>5.56122448979592</v>
      </c>
      <c r="AY44" s="12">
        <f>' B2级比赛 '!AY44*5</f>
        <v>5.45</v>
      </c>
      <c r="AZ44" s="21">
        <f>' B2级比赛 '!AZ44*5</f>
        <v>1353.20012136143</v>
      </c>
      <c r="BA44" s="20">
        <f>' B2级比赛 '!BA44*5</f>
        <v>8.00710130983097</v>
      </c>
      <c r="BB44" s="18"/>
      <c r="BC44" s="18"/>
      <c r="BD44" s="18"/>
      <c r="BE44" s="18"/>
      <c r="BF44" s="18">
        <f>' B2级比赛 '!BF44*5</f>
        <v>0</v>
      </c>
      <c r="BG44" s="18">
        <f>' B2级比赛 '!BG44*5</f>
        <v>0</v>
      </c>
      <c r="BH44" s="18"/>
      <c r="BI44" s="18"/>
      <c r="BJ44" s="18"/>
      <c r="BK44" s="18"/>
      <c r="BL44" s="18"/>
      <c r="BM44" s="18"/>
      <c r="BN44" s="23"/>
      <c r="BO44" s="23"/>
      <c r="BP44" s="23"/>
      <c r="BQ44" s="23"/>
      <c r="BR44" s="23"/>
      <c r="BS44" s="23"/>
      <c r="BT44" s="23"/>
      <c r="BU44" s="2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>
      <c r="A45" s="11" t="s">
        <v>107</v>
      </c>
      <c r="B45" s="12">
        <f>' B2级比赛 '!B45*5</f>
        <v>370</v>
      </c>
      <c r="C45" s="12">
        <f>' B2级比赛 '!C45*5</f>
        <v>259</v>
      </c>
      <c r="D45" s="15">
        <f>' B2级比赛 '!D45*5</f>
        <v>185</v>
      </c>
      <c r="E45" s="15">
        <f>' B2级比赛 '!E45*5</f>
        <v>129.5</v>
      </c>
      <c r="F45" s="15">
        <f>' B2级比赛 '!F45*5</f>
        <v>74</v>
      </c>
      <c r="G45" s="15">
        <f>' B2级比赛 '!G45*5</f>
        <v>61.6666666666667</v>
      </c>
      <c r="H45" s="15">
        <f>' B2级比赛 '!H45*5</f>
        <v>52.8571428571429</v>
      </c>
      <c r="I45" s="15">
        <f>' B2级比赛 '!I45*5</f>
        <v>46.25</v>
      </c>
      <c r="J45" s="15">
        <f>' B2级比赛 '!J45*5</f>
        <v>41.1111111111111</v>
      </c>
      <c r="K45" s="15">
        <f>' B2级比赛 '!K45*5</f>
        <v>37</v>
      </c>
      <c r="L45" s="15">
        <f>' B2级比赛 '!L45*5</f>
        <v>33.6363636363636</v>
      </c>
      <c r="M45" s="15">
        <f>' B2级比赛 '!M45*5</f>
        <v>30.8333333333333</v>
      </c>
      <c r="N45" s="15">
        <f>' B2级比赛 '!N45*5</f>
        <v>28.4615384615385</v>
      </c>
      <c r="O45" s="15">
        <f>' B2级比赛 '!O45*5</f>
        <v>26.4285714285714</v>
      </c>
      <c r="P45" s="12">
        <f>' B2级比赛 '!P45*5</f>
        <v>24.6666666666667</v>
      </c>
      <c r="Q45" s="12">
        <f>' B2级比赛 '!Q45*5</f>
        <v>23.125</v>
      </c>
      <c r="R45" s="12">
        <f>' B2级比赛 '!R45*5</f>
        <v>21.7647058823529</v>
      </c>
      <c r="S45" s="12">
        <f>' B2级比赛 '!S45*5</f>
        <v>20.5555555555556</v>
      </c>
      <c r="T45" s="12">
        <f>' B2级比赛 '!T45*5</f>
        <v>19.4736842105263</v>
      </c>
      <c r="U45" s="12">
        <f>' B2级比赛 '!U45*5</f>
        <v>18.5</v>
      </c>
      <c r="V45" s="12">
        <f>' B2级比赛 '!V45*5</f>
        <v>17.6190476190476</v>
      </c>
      <c r="W45" s="12">
        <f>' B2级比赛 '!W45*5</f>
        <v>16.8181818181818</v>
      </c>
      <c r="X45" s="12">
        <f>' B2级比赛 '!X45*5</f>
        <v>16.0869565217391</v>
      </c>
      <c r="Y45" s="12">
        <f>' B2级比赛 '!Y45*5</f>
        <v>15.4166666666667</v>
      </c>
      <c r="Z45" s="12">
        <f>' B2级比赛 '!Z45*5</f>
        <v>14.8</v>
      </c>
      <c r="AA45" s="12">
        <f>' B2级比赛 '!AA45*5</f>
        <v>14.2307692307692</v>
      </c>
      <c r="AB45" s="12">
        <f>' B2级比赛 '!AB45*5</f>
        <v>13.7037037037037</v>
      </c>
      <c r="AC45" s="12">
        <f>' B2级比赛 '!AC45*5</f>
        <v>13.2142857142857</v>
      </c>
      <c r="AD45" s="12">
        <f>' B2级比赛 '!AD45*5</f>
        <v>12.7586206896552</v>
      </c>
      <c r="AE45" s="12">
        <f>' B2级比赛 '!AE45*5</f>
        <v>12.3333333333333</v>
      </c>
      <c r="AF45" s="12">
        <f>' B2级比赛 '!AF45*5</f>
        <v>11.9354838709677</v>
      </c>
      <c r="AG45" s="12">
        <f>' B2级比赛 '!AG45*5</f>
        <v>11.5625</v>
      </c>
      <c r="AH45" s="12">
        <f>' B2级比赛 '!AH45*5</f>
        <v>11.2121212121212</v>
      </c>
      <c r="AI45" s="12">
        <f>' B2级比赛 '!AI45*5</f>
        <v>10.8823529411765</v>
      </c>
      <c r="AJ45" s="12">
        <f>' B2级比赛 '!AJ45*5</f>
        <v>10.5714285714286</v>
      </c>
      <c r="AK45" s="12">
        <f>' B2级比赛 '!AK45*5</f>
        <v>10.2777777777778</v>
      </c>
      <c r="AL45" s="12">
        <f>' B2级比赛 '!AL45*5</f>
        <v>10</v>
      </c>
      <c r="AM45" s="12">
        <f>' B2级比赛 '!AM45*5</f>
        <v>9.73684210526316</v>
      </c>
      <c r="AN45" s="12">
        <f>' B2级比赛 '!AN45*5</f>
        <v>9.48717948717949</v>
      </c>
      <c r="AO45" s="12">
        <f>' B2级比赛 '!AO45*5</f>
        <v>9.25</v>
      </c>
      <c r="AP45" s="12">
        <f>' B2级比赛 '!AP45*5</f>
        <v>9.02439024390244</v>
      </c>
      <c r="AQ45" s="12">
        <f>' B2级比赛 '!AQ45*5</f>
        <v>8.80952380952381</v>
      </c>
      <c r="AR45" s="12">
        <f>' B2级比赛 '!AR45*5</f>
        <v>8.6046511627907</v>
      </c>
      <c r="AS45" s="12">
        <f>' B2级比赛 '!AS45*5</f>
        <v>8.40909090909091</v>
      </c>
      <c r="AT45" s="12">
        <f>' B2级比赛 '!AT45*5</f>
        <v>8.22222222222222</v>
      </c>
      <c r="AU45" s="12">
        <f>' B2级比赛 '!AU45*5</f>
        <v>8.04347826086957</v>
      </c>
      <c r="AV45" s="12">
        <f>' B2级比赛 '!AV45*5</f>
        <v>7.87234042553191</v>
      </c>
      <c r="AW45" s="12">
        <f>' B2级比赛 '!AW45*5</f>
        <v>7.70833333333333</v>
      </c>
      <c r="AX45" s="12">
        <f>' B2级比赛 '!AX45*5</f>
        <v>7.55102040816326</v>
      </c>
      <c r="AY45" s="12">
        <f>' B2级比赛 '!AY45*5</f>
        <v>7.4</v>
      </c>
      <c r="AZ45" s="18">
        <f>' B2级比赛 '!AZ45*5</f>
        <v>7.2549019607843</v>
      </c>
      <c r="BA45" s="21">
        <f>' B2级比赛 '!BA45*5</f>
        <v>2018.74519086816</v>
      </c>
      <c r="BB45" s="20">
        <f>' B2级比赛 '!BB45*5</f>
        <v>8.04280952537117</v>
      </c>
      <c r="BC45" s="18"/>
      <c r="BD45" s="18"/>
      <c r="BE45" s="18"/>
      <c r="BF45" s="18">
        <f>' B2级比赛 '!BF45*5</f>
        <v>0</v>
      </c>
      <c r="BG45" s="18">
        <f>' B2级比赛 '!BG45*5</f>
        <v>0</v>
      </c>
      <c r="BH45" s="18"/>
      <c r="BI45" s="18"/>
      <c r="BJ45" s="18"/>
      <c r="BK45" s="18"/>
      <c r="BL45" s="18"/>
      <c r="BM45" s="18"/>
      <c r="BN45" s="23"/>
      <c r="BO45" s="23"/>
      <c r="BP45" s="23"/>
      <c r="BQ45" s="23"/>
      <c r="BR45" s="23"/>
      <c r="BS45" s="23"/>
      <c r="BT45" s="23"/>
      <c r="BU45" s="2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>
      <c r="A46" s="11" t="s">
        <v>108</v>
      </c>
      <c r="B46" s="12">
        <f>' B2级比赛 '!B46*5</f>
        <v>465</v>
      </c>
      <c r="C46" s="12">
        <f>' B2级比赛 '!C46*5</f>
        <v>325.5</v>
      </c>
      <c r="D46" s="15">
        <f>' B2级比赛 '!D46*5</f>
        <v>232.5</v>
      </c>
      <c r="E46" s="15">
        <f>' B2级比赛 '!E46*5</f>
        <v>162.75</v>
      </c>
      <c r="F46" s="15">
        <f>' B2级比赛 '!F46*5</f>
        <v>93</v>
      </c>
      <c r="G46" s="15">
        <f>' B2级比赛 '!G46*5</f>
        <v>77.5</v>
      </c>
      <c r="H46" s="15">
        <f>' B2级比赛 '!H46*5</f>
        <v>66.4285714285714</v>
      </c>
      <c r="I46" s="15">
        <f>' B2级比赛 '!I46*5</f>
        <v>58.125</v>
      </c>
      <c r="J46" s="15">
        <f>' B2级比赛 '!J46*5</f>
        <v>51.6666666666667</v>
      </c>
      <c r="K46" s="15">
        <f>' B2级比赛 '!K46*5</f>
        <v>46.5</v>
      </c>
      <c r="L46" s="15">
        <f>' B2级比赛 '!L46*5</f>
        <v>42.2727272727273</v>
      </c>
      <c r="M46" s="15">
        <f>' B2级比赛 '!M46*5</f>
        <v>38.75</v>
      </c>
      <c r="N46" s="15">
        <f>' B2级比赛 '!N46*5</f>
        <v>35.7692307692308</v>
      </c>
      <c r="O46" s="15">
        <f>' B2级比赛 '!O46*5</f>
        <v>33.2142857142857</v>
      </c>
      <c r="P46" s="12">
        <f>' B2级比赛 '!P46*5</f>
        <v>31</v>
      </c>
      <c r="Q46" s="12">
        <f>' B2级比赛 '!Q46*5</f>
        <v>29.0625</v>
      </c>
      <c r="R46" s="12">
        <f>' B2级比赛 '!R46*5</f>
        <v>27.3529411764706</v>
      </c>
      <c r="S46" s="12">
        <f>' B2级比赛 '!S46*5</f>
        <v>25.8333333333333</v>
      </c>
      <c r="T46" s="12">
        <f>' B2级比赛 '!T46*5</f>
        <v>24.4736842105263</v>
      </c>
      <c r="U46" s="12">
        <f>' B2级比赛 '!U46*5</f>
        <v>23.25</v>
      </c>
      <c r="V46" s="12">
        <f>' B2级比赛 '!V46*5</f>
        <v>22.1428571428571</v>
      </c>
      <c r="W46" s="12">
        <f>' B2级比赛 '!W46*5</f>
        <v>21.1363636363636</v>
      </c>
      <c r="X46" s="12">
        <f>' B2级比赛 '!X46*5</f>
        <v>20.2173913043478</v>
      </c>
      <c r="Y46" s="12">
        <f>' B2级比赛 '!Y46*5</f>
        <v>19.375</v>
      </c>
      <c r="Z46" s="12">
        <f>' B2级比赛 '!Z46*5</f>
        <v>18.6</v>
      </c>
      <c r="AA46" s="12">
        <f>' B2级比赛 '!AA46*5</f>
        <v>17.8846153846154</v>
      </c>
      <c r="AB46" s="12">
        <f>' B2级比赛 '!AB46*5</f>
        <v>17.2222222222222</v>
      </c>
      <c r="AC46" s="12">
        <f>' B2级比赛 '!AC46*5</f>
        <v>16.6071428571429</v>
      </c>
      <c r="AD46" s="12">
        <f>' B2级比赛 '!AD46*5</f>
        <v>16.0344827586207</v>
      </c>
      <c r="AE46" s="12">
        <f>' B2级比赛 '!AE46*5</f>
        <v>15.5</v>
      </c>
      <c r="AF46" s="12">
        <f>' B2级比赛 '!AF46*5</f>
        <v>15</v>
      </c>
      <c r="AG46" s="12">
        <f>' B2级比赛 '!AG46*5</f>
        <v>14.53125</v>
      </c>
      <c r="AH46" s="12">
        <f>' B2级比赛 '!AH46*5</f>
        <v>14.0909090909091</v>
      </c>
      <c r="AI46" s="12">
        <f>' B2级比赛 '!AI46*5</f>
        <v>13.6764705882353</v>
      </c>
      <c r="AJ46" s="12">
        <f>' B2级比赛 '!AJ46*5</f>
        <v>13.2857142857143</v>
      </c>
      <c r="AK46" s="12">
        <f>' B2级比赛 '!AK46*5</f>
        <v>12.9166666666667</v>
      </c>
      <c r="AL46" s="12">
        <f>' B2级比赛 '!AL46*5</f>
        <v>12.5675675675676</v>
      </c>
      <c r="AM46" s="12">
        <f>' B2级比赛 '!AM46*5</f>
        <v>12.2368421052632</v>
      </c>
      <c r="AN46" s="12">
        <f>' B2级比赛 '!AN46*5</f>
        <v>11.9230769230769</v>
      </c>
      <c r="AO46" s="12">
        <f>' B2级比赛 '!AO46*5</f>
        <v>11.625</v>
      </c>
      <c r="AP46" s="12">
        <f>' B2级比赛 '!AP46*5</f>
        <v>11.3414634146341</v>
      </c>
      <c r="AQ46" s="12">
        <f>' B2级比赛 '!AQ46*5</f>
        <v>11.0714285714286</v>
      </c>
      <c r="AR46" s="12">
        <f>' B2级比赛 '!AR46*5</f>
        <v>10.8139534883721</v>
      </c>
      <c r="AS46" s="12">
        <f>' B2级比赛 '!AS46*5</f>
        <v>10.5681818181818</v>
      </c>
      <c r="AT46" s="12">
        <f>' B2级比赛 '!AT46*5</f>
        <v>10.3333333333333</v>
      </c>
      <c r="AU46" s="12">
        <f>' B2级比赛 '!AU46*5</f>
        <v>10.1086956521739</v>
      </c>
      <c r="AV46" s="12">
        <f>' B2级比赛 '!AV46*5</f>
        <v>9.8936170212766</v>
      </c>
      <c r="AW46" s="12">
        <f>' B2级比赛 '!AW46*5</f>
        <v>9.6875</v>
      </c>
      <c r="AX46" s="12">
        <f>' B2级比赛 '!AX46*5</f>
        <v>9.48979591836735</v>
      </c>
      <c r="AY46" s="12">
        <f>' B2级比赛 '!AY46*5</f>
        <v>9.3</v>
      </c>
      <c r="AZ46" s="18">
        <f>' B2级比赛 '!AZ46*5</f>
        <v>9.11764705882353</v>
      </c>
      <c r="BA46" s="18">
        <f>' B2级比赛 '!BA46*5</f>
        <v>6.1184210526316</v>
      </c>
      <c r="BB46" s="21">
        <f>' B2级比赛 '!BB46*5</f>
        <v>2690.03218510956</v>
      </c>
      <c r="BC46" s="20">
        <f>' B2级比赛 '!BC46*5</f>
        <v>8.02994682122257</v>
      </c>
      <c r="BD46" s="18"/>
      <c r="BE46" s="18"/>
      <c r="BF46" s="18">
        <f>' B2级比赛 '!BF46*5</f>
        <v>0</v>
      </c>
      <c r="BG46" s="18">
        <f>' B2级比赛 '!BG46*5</f>
        <v>0</v>
      </c>
      <c r="BH46" s="18"/>
      <c r="BI46" s="18"/>
      <c r="BJ46" s="18"/>
      <c r="BK46" s="18"/>
      <c r="BL46" s="18"/>
      <c r="BM46" s="18"/>
      <c r="BN46" s="23"/>
      <c r="BO46" s="23"/>
      <c r="BP46" s="23"/>
      <c r="BQ46" s="23"/>
      <c r="BR46" s="23"/>
      <c r="BS46" s="23"/>
      <c r="BT46" s="23"/>
      <c r="BU46" s="2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>
      <c r="A47" s="11" t="s">
        <v>109</v>
      </c>
      <c r="B47" s="12">
        <f>' B2级比赛 '!B47*5</f>
        <v>640</v>
      </c>
      <c r="C47" s="12">
        <f>' B2级比赛 '!C47*5</f>
        <v>448</v>
      </c>
      <c r="D47" s="15">
        <f>' B2级比赛 '!D47*5</f>
        <v>320</v>
      </c>
      <c r="E47" s="15">
        <f>' B2级比赛 '!E47*5</f>
        <v>224</v>
      </c>
      <c r="F47" s="15">
        <f>' B2级比赛 '!F47*5</f>
        <v>128</v>
      </c>
      <c r="G47" s="15">
        <f>' B2级比赛 '!G47*5</f>
        <v>106.666666666667</v>
      </c>
      <c r="H47" s="15">
        <f>' B2级比赛 '!H47*5</f>
        <v>91.4285714285714</v>
      </c>
      <c r="I47" s="15">
        <f>' B2级比赛 '!I47*5</f>
        <v>80</v>
      </c>
      <c r="J47" s="15">
        <f>' B2级比赛 '!J47*5</f>
        <v>71.1111111111111</v>
      </c>
      <c r="K47" s="15">
        <f>' B2级比赛 '!K47*5</f>
        <v>64</v>
      </c>
      <c r="L47" s="15">
        <f>' B2级比赛 '!L47*5</f>
        <v>58.1818181818182</v>
      </c>
      <c r="M47" s="15">
        <f>' B2级比赛 '!M47*5</f>
        <v>53.3333333333333</v>
      </c>
      <c r="N47" s="15">
        <f>' B2级比赛 '!N47*5</f>
        <v>49.2307692307692</v>
      </c>
      <c r="O47" s="15">
        <f>' B2级比赛 '!O47*5</f>
        <v>45.7142857142857</v>
      </c>
      <c r="P47" s="12">
        <f>' B2级比赛 '!P47*5</f>
        <v>42.6666666666667</v>
      </c>
      <c r="Q47" s="12">
        <f>' B2级比赛 '!Q47*5</f>
        <v>40</v>
      </c>
      <c r="R47" s="12">
        <f>' B2级比赛 '!R47*5</f>
        <v>37.6470588235294</v>
      </c>
      <c r="S47" s="12">
        <f>' B2级比赛 '!S47*5</f>
        <v>35.5555555555556</v>
      </c>
      <c r="T47" s="12">
        <f>' B2级比赛 '!T47*5</f>
        <v>33.6842105263158</v>
      </c>
      <c r="U47" s="12">
        <f>' B2级比赛 '!U47*5</f>
        <v>32</v>
      </c>
      <c r="V47" s="12">
        <f>' B2级比赛 '!V47*5</f>
        <v>30.4761904761905</v>
      </c>
      <c r="W47" s="12">
        <f>' B2级比赛 '!W47*5</f>
        <v>29.0909090909091</v>
      </c>
      <c r="X47" s="12">
        <f>' B2级比赛 '!X47*5</f>
        <v>27.8260869565217</v>
      </c>
      <c r="Y47" s="12">
        <f>' B2级比赛 '!Y47*5</f>
        <v>26.6666666666667</v>
      </c>
      <c r="Z47" s="12">
        <f>' B2级比赛 '!Z47*5</f>
        <v>25.6</v>
      </c>
      <c r="AA47" s="12">
        <f>' B2级比赛 '!AA47*5</f>
        <v>24.6153846153846</v>
      </c>
      <c r="AB47" s="12">
        <f>' B2级比赛 '!AB47*5</f>
        <v>23.7037037037037</v>
      </c>
      <c r="AC47" s="12">
        <f>' B2级比赛 '!AC47*5</f>
        <v>22.8571428571429</v>
      </c>
      <c r="AD47" s="12">
        <f>' B2级比赛 '!AD47*5</f>
        <v>22.0689655172414</v>
      </c>
      <c r="AE47" s="12">
        <f>' B2级比赛 '!AE47*5</f>
        <v>21.3333333333333</v>
      </c>
      <c r="AF47" s="12">
        <f>' B2级比赛 '!AF47*5</f>
        <v>20.6451612903226</v>
      </c>
      <c r="AG47" s="12">
        <f>' B2级比赛 '!AG47*5</f>
        <v>20</v>
      </c>
      <c r="AH47" s="12">
        <f>' B2级比赛 '!AH47*5</f>
        <v>19.3939393939394</v>
      </c>
      <c r="AI47" s="12">
        <f>' B2级比赛 '!AI47*5</f>
        <v>18.8235294117647</v>
      </c>
      <c r="AJ47" s="12">
        <f>' B2级比赛 '!AJ47*5</f>
        <v>18.2857142857143</v>
      </c>
      <c r="AK47" s="12">
        <f>' B2级比赛 '!AK47*5</f>
        <v>17.7777777777778</v>
      </c>
      <c r="AL47" s="12">
        <f>' B2级比赛 '!AL47*5</f>
        <v>17.2972972972973</v>
      </c>
      <c r="AM47" s="12">
        <f>' B2级比赛 '!AM47*5</f>
        <v>16.8421052631579</v>
      </c>
      <c r="AN47" s="12">
        <f>' B2级比赛 '!AN47*5</f>
        <v>16.4102564102564</v>
      </c>
      <c r="AO47" s="12">
        <f>' B2级比赛 '!AO47*5</f>
        <v>16</v>
      </c>
      <c r="AP47" s="12">
        <f>' B2级比赛 '!AP47*5</f>
        <v>15.609756097561</v>
      </c>
      <c r="AQ47" s="12">
        <f>' B2级比赛 '!AQ47*5</f>
        <v>15.2380952380952</v>
      </c>
      <c r="AR47" s="12">
        <f>' B2级比赛 '!AR47*5</f>
        <v>14.8837209302326</v>
      </c>
      <c r="AS47" s="12">
        <f>' B2级比赛 '!AS47*5</f>
        <v>14.5454545454545</v>
      </c>
      <c r="AT47" s="12">
        <f>' B2级比赛 '!AT47*5</f>
        <v>14.2222222222222</v>
      </c>
      <c r="AU47" s="12">
        <f>' B2级比赛 '!AU47*5</f>
        <v>13.9130434782609</v>
      </c>
      <c r="AV47" s="12">
        <f>' B2级比赛 '!AV47*5</f>
        <v>13.6170212765957</v>
      </c>
      <c r="AW47" s="12">
        <f>' B2级比赛 '!AW47*5</f>
        <v>13.3333333333333</v>
      </c>
      <c r="AX47" s="12">
        <f>' B2级比赛 '!AX47*5</f>
        <v>13.0612244897959</v>
      </c>
      <c r="AY47" s="12">
        <f>' B2级比赛 '!AY47*5</f>
        <v>12.8</v>
      </c>
      <c r="AZ47" s="18">
        <f>' B2级比赛 '!AZ47*5</f>
        <v>12.5490196078431</v>
      </c>
      <c r="BA47" s="18">
        <f>' B2级比赛 '!BA47*5</f>
        <v>8.42105263157895</v>
      </c>
      <c r="BB47" s="18">
        <f>' B2级比赛 '!BB47*5</f>
        <v>6.33663366336635</v>
      </c>
      <c r="BC47" s="21">
        <f>' B2级比赛 '!BC47*5</f>
        <v>4019.24157235137</v>
      </c>
      <c r="BD47" s="20">
        <f>' B2级比赛 '!BD47*5</f>
        <v>8.03848314470273</v>
      </c>
      <c r="BE47" s="18"/>
      <c r="BF47" s="18">
        <f>' B2级比赛 '!BF47*5</f>
        <v>0</v>
      </c>
      <c r="BG47" s="18">
        <f>' B2级比赛 '!BG47*5</f>
        <v>0</v>
      </c>
      <c r="BH47" s="18"/>
      <c r="BI47" s="18"/>
      <c r="BJ47" s="18"/>
      <c r="BK47" s="18"/>
      <c r="BL47" s="18"/>
      <c r="BM47" s="18"/>
      <c r="BN47" s="23"/>
      <c r="BO47" s="23"/>
      <c r="BP47" s="23"/>
      <c r="BQ47" s="23"/>
      <c r="BR47" s="23"/>
      <c r="BS47" s="23"/>
      <c r="BT47" s="23"/>
      <c r="BU47" s="2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>
      <c r="A48" s="11" t="s">
        <v>110</v>
      </c>
      <c r="B48" s="12">
        <f>' B2级比赛 '!B48*5</f>
        <v>815</v>
      </c>
      <c r="C48" s="12">
        <f>' B2级比赛 '!C48*5</f>
        <v>570.5</v>
      </c>
      <c r="D48" s="15">
        <f>' B2级比赛 '!D48*5</f>
        <v>407.5</v>
      </c>
      <c r="E48" s="15">
        <f>' B2级比赛 '!E48*5</f>
        <v>285.25</v>
      </c>
      <c r="F48" s="15">
        <f>' B2级比赛 '!F48*5</f>
        <v>163</v>
      </c>
      <c r="G48" s="15">
        <f>' B2级比赛 '!G48*5</f>
        <v>135.833333333333</v>
      </c>
      <c r="H48" s="15">
        <f>' B2级比赛 '!H48*5</f>
        <v>116.428571428571</v>
      </c>
      <c r="I48" s="15">
        <f>' B2级比赛 '!I48*5</f>
        <v>101.875</v>
      </c>
      <c r="J48" s="15">
        <f>' B2级比赛 '!J48*5</f>
        <v>90.5555555555556</v>
      </c>
      <c r="K48" s="15">
        <f>' B2级比赛 '!K48*5</f>
        <v>81.5</v>
      </c>
      <c r="L48" s="15">
        <f>' B2级比赛 '!L48*5</f>
        <v>74.0909090909091</v>
      </c>
      <c r="M48" s="15">
        <f>' B2级比赛 '!M48*5</f>
        <v>67.9166666666667</v>
      </c>
      <c r="N48" s="15">
        <f>' B2级比赛 '!N48*5</f>
        <v>62.6923076923077</v>
      </c>
      <c r="O48" s="15">
        <f>' B2级比赛 '!O48*5</f>
        <v>58.2142857142857</v>
      </c>
      <c r="P48" s="12">
        <f>' B2级比赛 '!P48*5</f>
        <v>54.3333333333333</v>
      </c>
      <c r="Q48" s="12">
        <f>' B2级比赛 '!Q48*5</f>
        <v>50.9375</v>
      </c>
      <c r="R48" s="12">
        <f>' B2级比赛 '!R48*5</f>
        <v>47.9411764705882</v>
      </c>
      <c r="S48" s="12">
        <f>' B2级比赛 '!S48*5</f>
        <v>45.2777777777778</v>
      </c>
      <c r="T48" s="12">
        <f>' B2级比赛 '!T48*5</f>
        <v>42.8947368421053</v>
      </c>
      <c r="U48" s="12">
        <f>' B2级比赛 '!U48*5</f>
        <v>40.75</v>
      </c>
      <c r="V48" s="12">
        <f>' B2级比赛 '!V48*5</f>
        <v>38.8095238095238</v>
      </c>
      <c r="W48" s="12">
        <f>' B2级比赛 '!W48*5</f>
        <v>37.0454545454545</v>
      </c>
      <c r="X48" s="12">
        <f>' B2级比赛 '!X48*5</f>
        <v>35.4347826086957</v>
      </c>
      <c r="Y48" s="12">
        <f>' B2级比赛 '!Y48*5</f>
        <v>33.9583333333333</v>
      </c>
      <c r="Z48" s="12">
        <f>' B2级比赛 '!Z48*5</f>
        <v>32.6</v>
      </c>
      <c r="AA48" s="12">
        <f>' B2级比赛 '!AA48*5</f>
        <v>31.3461538461538</v>
      </c>
      <c r="AB48" s="12">
        <f>' B2级比赛 '!AB48*5</f>
        <v>30.1851851851852</v>
      </c>
      <c r="AC48" s="12">
        <f>' B2级比赛 '!AC48*5</f>
        <v>29.1071428571429</v>
      </c>
      <c r="AD48" s="12">
        <f>' B2级比赛 '!AD48*5</f>
        <v>28.1034482758621</v>
      </c>
      <c r="AE48" s="12">
        <f>' B2级比赛 '!AE48*5</f>
        <v>27.1666666666667</v>
      </c>
      <c r="AF48" s="12">
        <f>' B2级比赛 '!AF48*5</f>
        <v>26.2903225806452</v>
      </c>
      <c r="AG48" s="12">
        <f>' B2级比赛 '!AG48*5</f>
        <v>25.46875</v>
      </c>
      <c r="AH48" s="12">
        <f>' B2级比赛 '!AH48*5</f>
        <v>24.6969696969697</v>
      </c>
      <c r="AI48" s="12">
        <f>' B2级比赛 '!AI48*5</f>
        <v>23.9705882352941</v>
      </c>
      <c r="AJ48" s="12">
        <f>' B2级比赛 '!AJ48*5</f>
        <v>23.2857142857143</v>
      </c>
      <c r="AK48" s="12">
        <f>' B2级比赛 '!AK48*5</f>
        <v>22.6388888888889</v>
      </c>
      <c r="AL48" s="12">
        <f>' B2级比赛 '!AL48*5</f>
        <v>22.027027027027</v>
      </c>
      <c r="AM48" s="12">
        <f>' B2级比赛 '!AM48*5</f>
        <v>21.4473684210526</v>
      </c>
      <c r="AN48" s="12">
        <f>' B2级比赛 '!AN48*5</f>
        <v>20.8974358974359</v>
      </c>
      <c r="AO48" s="12">
        <f>' B2级比赛 '!AO48*5</f>
        <v>20.375</v>
      </c>
      <c r="AP48" s="12">
        <f>' B2级比赛 '!AP48*5</f>
        <v>19.8780487804878</v>
      </c>
      <c r="AQ48" s="12">
        <f>' B2级比赛 '!AQ48*5</f>
        <v>19.4047619047619</v>
      </c>
      <c r="AR48" s="12">
        <f>' B2级比赛 '!AR48*5</f>
        <v>18.953488372093</v>
      </c>
      <c r="AS48" s="12">
        <f>' B2级比赛 '!AS48*5</f>
        <v>18.5227272727273</v>
      </c>
      <c r="AT48" s="12">
        <f>' B2级比赛 '!AT48*5</f>
        <v>18.1111111111111</v>
      </c>
      <c r="AU48" s="12">
        <f>' B2级比赛 '!AU48*5</f>
        <v>17.7173913043478</v>
      </c>
      <c r="AV48" s="12">
        <f>' B2级比赛 '!AV48*5</f>
        <v>17.3404255319149</v>
      </c>
      <c r="AW48" s="12">
        <f>' B2级比赛 '!AW48*5</f>
        <v>16.9791666666667</v>
      </c>
      <c r="AX48" s="12">
        <f>' B2级比赛 '!AX48*5</f>
        <v>16.6326530612245</v>
      </c>
      <c r="AY48" s="12">
        <f>' B2级比赛 '!AY48*5</f>
        <v>16.3</v>
      </c>
      <c r="AZ48" s="18">
        <f>' B2级比赛 '!AZ48*5</f>
        <v>15.9803921568627</v>
      </c>
      <c r="BA48" s="18">
        <f>' B2级比赛 '!BA48*5</f>
        <v>10.7236842105263</v>
      </c>
      <c r="BB48" s="18">
        <f>' B2级比赛 '!BB48*5</f>
        <v>8.06930693069307</v>
      </c>
      <c r="BC48" s="18">
        <f>' B2级比赛 '!BC48*5</f>
        <v>5.3973509933775</v>
      </c>
      <c r="BD48" s="21">
        <f>' B2级比赛 '!BD48*5</f>
        <v>5388.12048946007</v>
      </c>
      <c r="BE48" s="20">
        <f>' B2级比赛 '!BE48*5</f>
        <v>8.04197087979115</v>
      </c>
      <c r="BF48" s="18">
        <f>' B2级比赛 '!BF48*5</f>
        <v>0</v>
      </c>
      <c r="BG48" s="18">
        <f>' B2级比赛 '!BG48*5</f>
        <v>0</v>
      </c>
      <c r="BH48" s="18"/>
      <c r="BI48" s="18"/>
      <c r="BJ48" s="18"/>
      <c r="BK48" s="18"/>
      <c r="BL48" s="18"/>
      <c r="BM48" s="18"/>
      <c r="BN48" s="23"/>
      <c r="BO48" s="23"/>
      <c r="BP48" s="23"/>
      <c r="BQ48" s="23"/>
      <c r="BR48" s="23"/>
      <c r="BS48" s="23"/>
      <c r="BT48" s="23"/>
      <c r="BU48" s="2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="2" customFormat="1" spans="1:110">
      <c r="A49" s="16" t="s">
        <v>111</v>
      </c>
      <c r="B49" s="17">
        <f>' B2级比赛 '!B49*5</f>
        <v>1130</v>
      </c>
      <c r="C49" s="17">
        <f>' B2级比赛 '!C49*5</f>
        <v>791</v>
      </c>
      <c r="D49" s="17">
        <f>' B2级比赛 '!D49*5</f>
        <v>565</v>
      </c>
      <c r="E49" s="17">
        <f>' B2级比赛 '!E49*5</f>
        <v>395.5</v>
      </c>
      <c r="F49" s="17">
        <f>' B2级比赛 '!F49*5</f>
        <v>226</v>
      </c>
      <c r="G49" s="17">
        <f>' B2级比赛 '!G49*5</f>
        <v>188.333333333333</v>
      </c>
      <c r="H49" s="17">
        <f>' B2级比赛 '!H49*5</f>
        <v>161.428571428571</v>
      </c>
      <c r="I49" s="17">
        <f>' B2级比赛 '!I49*5</f>
        <v>141.25</v>
      </c>
      <c r="J49" s="17">
        <f>' B2级比赛 '!J49*5</f>
        <v>125.555555555556</v>
      </c>
      <c r="K49" s="17">
        <f>' B2级比赛 '!K49*5</f>
        <v>113</v>
      </c>
      <c r="L49" s="17">
        <f>' B2级比赛 '!L49*5</f>
        <v>102.727272727273</v>
      </c>
      <c r="M49" s="17">
        <f>' B2级比赛 '!M49*5</f>
        <v>94.1666666666667</v>
      </c>
      <c r="N49" s="17">
        <f>' B2级比赛 '!N49*5</f>
        <v>86.9230769230769</v>
      </c>
      <c r="O49" s="17">
        <f>' B2级比赛 '!O49*5</f>
        <v>80.7142857142857</v>
      </c>
      <c r="P49" s="17">
        <f>' B2级比赛 '!P49*5</f>
        <v>75.3333333333333</v>
      </c>
      <c r="Q49" s="17">
        <f>' B2级比赛 '!Q49*5</f>
        <v>70.625</v>
      </c>
      <c r="R49" s="17">
        <f>' B2级比赛 '!R49*5</f>
        <v>66.4705882352941</v>
      </c>
      <c r="S49" s="17">
        <f>' B2级比赛 '!S49*5</f>
        <v>62.7777777777778</v>
      </c>
      <c r="T49" s="17">
        <f>' B2级比赛 '!T49*5</f>
        <v>59.4736842105263</v>
      </c>
      <c r="U49" s="17">
        <f>' B2级比赛 '!U49*5</f>
        <v>56.5</v>
      </c>
      <c r="V49" s="17">
        <f>' B2级比赛 '!V49*5</f>
        <v>53.8095238095238</v>
      </c>
      <c r="W49" s="17">
        <f>' B2级比赛 '!W49*5</f>
        <v>51.3636363636364</v>
      </c>
      <c r="X49" s="17">
        <f>' B2级比赛 '!X49*5</f>
        <v>49.1304347826087</v>
      </c>
      <c r="Y49" s="17">
        <f>' B2级比赛 '!Y49*5</f>
        <v>47.0833333333333</v>
      </c>
      <c r="Z49" s="17">
        <f>' B2级比赛 '!Z49*5</f>
        <v>45.2</v>
      </c>
      <c r="AA49" s="17">
        <f>' B2级比赛 '!AA49*5</f>
        <v>43.4615384615385</v>
      </c>
      <c r="AB49" s="17">
        <f>' B2级比赛 '!AB49*5</f>
        <v>41.8518518518518</v>
      </c>
      <c r="AC49" s="17">
        <f>' B2级比赛 '!AC49*5</f>
        <v>40.3571428571429</v>
      </c>
      <c r="AD49" s="17">
        <f>' B2级比赛 '!AD49*5</f>
        <v>38.9655172413793</v>
      </c>
      <c r="AE49" s="17">
        <f>' B2级比赛 '!AE49*5</f>
        <v>37.6666666666667</v>
      </c>
      <c r="AF49" s="17">
        <f>' B2级比赛 '!AF49*5</f>
        <v>36.4516129032258</v>
      </c>
      <c r="AG49" s="17">
        <f>' B2级比赛 '!AG49*5</f>
        <v>35.3125</v>
      </c>
      <c r="AH49" s="17">
        <f>' B2级比赛 '!AH49*5</f>
        <v>34.2424242424242</v>
      </c>
      <c r="AI49" s="17">
        <f>' B2级比赛 '!AI49*5</f>
        <v>33.2352941176471</v>
      </c>
      <c r="AJ49" s="17">
        <f>' B2级比赛 '!AJ49*5</f>
        <v>32.2857142857143</v>
      </c>
      <c r="AK49" s="17">
        <f>' B2级比赛 '!AK49*5</f>
        <v>31.3888888888889</v>
      </c>
      <c r="AL49" s="17">
        <f>' B2级比赛 '!AL49*5</f>
        <v>30.5405405405405</v>
      </c>
      <c r="AM49" s="17">
        <f>' B2级比赛 '!AM49*5</f>
        <v>29.7368421052632</v>
      </c>
      <c r="AN49" s="17">
        <f>' B2级比赛 '!AN49*5</f>
        <v>28.974358974359</v>
      </c>
      <c r="AO49" s="17">
        <f>' B2级比赛 '!AO49*5</f>
        <v>28.25</v>
      </c>
      <c r="AP49" s="17">
        <f>' B2级比赛 '!AP49*5</f>
        <v>27.5609756097561</v>
      </c>
      <c r="AQ49" s="17">
        <f>' B2级比赛 '!AQ49*5</f>
        <v>26.9047619047619</v>
      </c>
      <c r="AR49" s="17">
        <f>' B2级比赛 '!AR49*5</f>
        <v>26.2790697674419</v>
      </c>
      <c r="AS49" s="17">
        <f>' B2级比赛 '!AS49*5</f>
        <v>25.6818181818182</v>
      </c>
      <c r="AT49" s="17">
        <f>' B2级比赛 '!AT49*5</f>
        <v>25.1111111111111</v>
      </c>
      <c r="AU49" s="17">
        <f>' B2级比赛 '!AU49*5</f>
        <v>24.5652173913043</v>
      </c>
      <c r="AV49" s="17">
        <f>' B2级比赛 '!AV49*5</f>
        <v>24.0425531914894</v>
      </c>
      <c r="AW49" s="17">
        <f>' B2级比赛 '!AW49*5</f>
        <v>23.5416666666667</v>
      </c>
      <c r="AX49" s="17">
        <f>' B2级比赛 '!AX49*5</f>
        <v>23.0612244897959</v>
      </c>
      <c r="AY49" s="17">
        <f>' B2级比赛 '!AY49*5</f>
        <v>22.6</v>
      </c>
      <c r="AZ49" s="16">
        <f>' B2级比赛 '!AZ49*5</f>
        <v>22.156862745098</v>
      </c>
      <c r="BA49" s="16">
        <f>' B2级比赛 '!BA49*5</f>
        <v>14.8684210526316</v>
      </c>
      <c r="BB49" s="16">
        <f>' B2级比赛 '!BB49*5</f>
        <v>11.1881188118812</v>
      </c>
      <c r="BC49" s="16">
        <f>' B2级比赛 '!BC49*5</f>
        <v>7.48344370860927</v>
      </c>
      <c r="BD49" s="16">
        <f>' B2级比赛 '!BD49*5</f>
        <v>5.6218905472637</v>
      </c>
      <c r="BE49" s="21">
        <f>' B2级比赛 '!BE49*5</f>
        <v>8032.83464133972</v>
      </c>
      <c r="BF49" s="20">
        <f>' B2级比赛 '!BF49*5</f>
        <v>8.03283464133972</v>
      </c>
      <c r="BG49" s="18"/>
      <c r="BH49" s="18"/>
      <c r="BI49" s="18"/>
      <c r="BJ49" s="18"/>
      <c r="BK49" s="18"/>
      <c r="BL49" s="18"/>
      <c r="BM49" s="18"/>
      <c r="BN49" s="23"/>
      <c r="BO49" s="23"/>
      <c r="BP49" s="23"/>
      <c r="BQ49" s="23"/>
      <c r="BR49" s="23"/>
      <c r="BS49" s="23"/>
      <c r="BT49" s="23"/>
      <c r="BU49" s="2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>
      <c r="A50" s="11" t="s">
        <v>112</v>
      </c>
      <c r="B50" s="12">
        <f>' B2级比赛 '!B50*5</f>
        <v>1243</v>
      </c>
      <c r="C50" s="12">
        <f>' B2级比赛 '!C50*5</f>
        <v>1044.12</v>
      </c>
      <c r="D50" s="15">
        <f>' B2级比赛 '!D50*5</f>
        <v>807.95</v>
      </c>
      <c r="E50" s="15">
        <f>' B2级比赛 '!E50*5</f>
        <v>565.565</v>
      </c>
      <c r="F50" s="15">
        <f>' B2级比赛 '!F50*5</f>
        <v>323.18</v>
      </c>
      <c r="G50" s="15">
        <f>' B2级比赛 '!G50*5</f>
        <v>269.316666666667</v>
      </c>
      <c r="H50" s="15">
        <f>' B2级比赛 '!H50*5</f>
        <v>230.842857142857</v>
      </c>
      <c r="I50" s="15">
        <f>' B2级比赛 '!I50*5</f>
        <v>201.9875</v>
      </c>
      <c r="J50" s="15">
        <f>' B2级比赛 '!J50*5</f>
        <v>179.544444444444</v>
      </c>
      <c r="K50" s="15">
        <f>' B2级比赛 '!K50*5</f>
        <v>161.59</v>
      </c>
      <c r="L50" s="15">
        <f>' B2级比赛 '!L50*5</f>
        <v>146.9</v>
      </c>
      <c r="M50" s="15">
        <f>' B2级比赛 '!M50*5</f>
        <v>134.658333333333</v>
      </c>
      <c r="N50" s="15">
        <f>' B2级比赛 '!N50*5</f>
        <v>124.3</v>
      </c>
      <c r="O50" s="15">
        <f>' B2级比赛 '!O50*5</f>
        <v>115.421428571429</v>
      </c>
      <c r="P50" s="12">
        <f>' B2级比赛 '!P50*5</f>
        <v>107.726666666667</v>
      </c>
      <c r="Q50" s="12">
        <f>' B2级比赛 '!Q50*5</f>
        <v>100.99375</v>
      </c>
      <c r="R50" s="12">
        <f>' B2级比赛 '!R50*5</f>
        <v>95.0529411764706</v>
      </c>
      <c r="S50" s="12">
        <f>' B2级比赛 '!S50*5</f>
        <v>89.7722222222222</v>
      </c>
      <c r="T50" s="12">
        <f>' B2级比赛 '!T50*5</f>
        <v>85.0473684210527</v>
      </c>
      <c r="U50" s="12">
        <f>' B2级比赛 '!U50*5</f>
        <v>80.795</v>
      </c>
      <c r="V50" s="12">
        <f>' B2级比赛 '!V50*5</f>
        <v>76.9476190476191</v>
      </c>
      <c r="W50" s="12">
        <f>' B2级比赛 '!W50*5</f>
        <v>73.45</v>
      </c>
      <c r="X50" s="12">
        <f>' B2级比赛 '!X50*5</f>
        <v>70.2565217391304</v>
      </c>
      <c r="Y50" s="12">
        <f>' B2级比赛 '!Y50*5</f>
        <v>67.3291666666667</v>
      </c>
      <c r="Z50" s="12">
        <f>' B2级比赛 '!Z50*5</f>
        <v>64.636</v>
      </c>
      <c r="AA50" s="12">
        <f>' B2级比赛 '!AA50*5</f>
        <v>62.15</v>
      </c>
      <c r="AB50" s="12">
        <f>' B2级比赛 '!AB50*5</f>
        <v>59.8481481481482</v>
      </c>
      <c r="AC50" s="12">
        <f>' B2级比赛 '!AC50*5</f>
        <v>57.7107142857143</v>
      </c>
      <c r="AD50" s="12">
        <f>' B2级比赛 '!AD50*5</f>
        <v>55.7206896551724</v>
      </c>
      <c r="AE50" s="12">
        <f>' B2级比赛 '!AE50*5</f>
        <v>53.8633333333333</v>
      </c>
      <c r="AF50" s="12">
        <f>' B2级比赛 '!AF50*5</f>
        <v>52.1258064516129</v>
      </c>
      <c r="AG50" s="12">
        <f>' B2级比赛 '!AG50*5</f>
        <v>50.496875</v>
      </c>
      <c r="AH50" s="12">
        <f>' B2级比赛 '!AH50*5</f>
        <v>48.9666666666667</v>
      </c>
      <c r="AI50" s="12">
        <f>' B2级比赛 '!AI50*5</f>
        <v>43.8705882352941</v>
      </c>
      <c r="AJ50" s="12">
        <f>' B2级比赛 '!AJ50*5</f>
        <v>42.6171428571429</v>
      </c>
      <c r="AK50" s="12">
        <f>' B2级比赛 '!AK50*5</f>
        <v>41.4333333333333</v>
      </c>
      <c r="AL50" s="12">
        <f>' B2级比赛 '!AL50*5</f>
        <v>40.3135135135135</v>
      </c>
      <c r="AM50" s="12">
        <f>' B2级比赛 '!AM50*5</f>
        <v>39.2526315789474</v>
      </c>
      <c r="AN50" s="12">
        <f>' B2级比赛 '!AN50*5</f>
        <v>38.2461538461538</v>
      </c>
      <c r="AO50" s="12">
        <f>' B2级比赛 '!AO50*5</f>
        <v>37.29</v>
      </c>
      <c r="AP50" s="12">
        <f>' B2级比赛 '!AP50*5</f>
        <v>36.3804878048781</v>
      </c>
      <c r="AQ50" s="12">
        <f>' B2级比赛 '!AQ50*5</f>
        <v>35.5142857142857</v>
      </c>
      <c r="AR50" s="12">
        <f>' B2级比赛 '!AR50*5</f>
        <v>34.6883720930233</v>
      </c>
      <c r="AS50" s="12">
        <f>' B2级比赛 '!AS50*5</f>
        <v>33.9</v>
      </c>
      <c r="AT50" s="12">
        <f>' B2级比赛 '!AT50*5</f>
        <v>33.1466666666667</v>
      </c>
      <c r="AU50" s="12">
        <f>' B2级比赛 '!AU50*5</f>
        <v>32.4260869565217</v>
      </c>
      <c r="AV50" s="12">
        <f>' B2级比赛 '!AV50*5</f>
        <v>31.736170212766</v>
      </c>
      <c r="AW50" s="12">
        <f>' B2级比赛 '!AW50*5</f>
        <v>31.075</v>
      </c>
      <c r="AX50" s="12">
        <f>' B2级比赛 '!AX50*5</f>
        <v>30.4408163265306</v>
      </c>
      <c r="AY50" s="12">
        <f>' B2级比赛 '!AY50*5</f>
        <v>29.832</v>
      </c>
      <c r="AZ50" s="18">
        <f>' B2级比赛 '!AZ50*5</f>
        <v>29.2470588235294</v>
      </c>
      <c r="BA50" s="18">
        <f>' B2级比赛 '!BA50*5</f>
        <v>19.6263157894737</v>
      </c>
      <c r="BB50" s="18">
        <f>' B2级比赛 '!BB50*5</f>
        <v>14.7683168316832</v>
      </c>
      <c r="BC50" s="18">
        <f>' B2级比赛 '!BC50*5</f>
        <v>9.87814569536424</v>
      </c>
      <c r="BD50" s="18">
        <f>' B2级比赛 '!BD50*5</f>
        <v>7.42089552238806</v>
      </c>
      <c r="BE50" s="18">
        <f>' B2级比赛 '!BE50*5</f>
        <v>4.95548172757475</v>
      </c>
      <c r="BF50" s="21">
        <f>' B2级比赛 '!BF50*5</f>
        <v>11205.224185452</v>
      </c>
      <c r="BG50" s="20">
        <f>' B2级比赛 '!BG50*5</f>
        <v>8.00373156103714</v>
      </c>
      <c r="BH50" s="18"/>
      <c r="BI50" s="18"/>
      <c r="BJ50" s="18"/>
      <c r="BK50" s="18"/>
      <c r="BL50" s="18"/>
      <c r="BM50" s="18"/>
      <c r="BN50" s="23"/>
      <c r="BO50" s="23"/>
      <c r="BP50" s="23"/>
      <c r="BQ50" s="23"/>
      <c r="BR50" s="23"/>
      <c r="BS50" s="23"/>
      <c r="BT50" s="23"/>
      <c r="BU50" s="2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</row>
    <row r="51" spans="1:110">
      <c r="A51" s="11" t="s">
        <v>113</v>
      </c>
      <c r="B51" s="12">
        <f>' B2级比赛 '!B51*5</f>
        <v>1429.45</v>
      </c>
      <c r="C51" s="12">
        <f>' B2级比赛 '!C51*5</f>
        <v>1200.738</v>
      </c>
      <c r="D51" s="15">
        <f>' B2级比赛 '!D51*5</f>
        <v>857.67</v>
      </c>
      <c r="E51" s="15">
        <f>' B2级比赛 '!E51*5</f>
        <v>600.369</v>
      </c>
      <c r="F51" s="15">
        <f>' B2级比赛 '!F51*5</f>
        <v>343.068</v>
      </c>
      <c r="G51" s="15">
        <f>' B2级比赛 '!G51*5</f>
        <v>285.89</v>
      </c>
      <c r="H51" s="15">
        <f>' B2级比赛 '!H51*5</f>
        <v>245.048571428571</v>
      </c>
      <c r="I51" s="15">
        <f>' B2级比赛 '!I51*5</f>
        <v>214.4175</v>
      </c>
      <c r="J51" s="15">
        <f>' B2级比赛 '!J51*5</f>
        <v>190.593333333333</v>
      </c>
      <c r="K51" s="15">
        <f>' B2级比赛 '!K51*5</f>
        <v>171.534</v>
      </c>
      <c r="L51" s="15">
        <f>' B2级比赛 '!L51*5</f>
        <v>155.94</v>
      </c>
      <c r="M51" s="15">
        <f>' B2级比赛 '!M51*5</f>
        <v>142.945</v>
      </c>
      <c r="N51" s="15">
        <f>' B2级比赛 '!N51*5</f>
        <v>131.949230769231</v>
      </c>
      <c r="O51" s="15">
        <f>' B2级比赛 '!O51*5</f>
        <v>122.524285714286</v>
      </c>
      <c r="P51" s="12">
        <f>' B2级比赛 '!P51*5</f>
        <v>114.356</v>
      </c>
      <c r="Q51" s="12">
        <f>' B2级比赛 '!Q51*5</f>
        <v>107.20875</v>
      </c>
      <c r="R51" s="12">
        <f>' B2级比赛 '!R51*5</f>
        <v>100.902352941176</v>
      </c>
      <c r="S51" s="12">
        <f>' B2级比赛 '!S51*5</f>
        <v>95.2966666666667</v>
      </c>
      <c r="T51" s="12">
        <f>' B2级比赛 '!T51*5</f>
        <v>90.2810526315789</v>
      </c>
      <c r="U51" s="12">
        <f>' B2级比赛 '!U51*5</f>
        <v>85.767</v>
      </c>
      <c r="V51" s="12">
        <f>' B2级比赛 '!V51*5</f>
        <v>81.6828571428571</v>
      </c>
      <c r="W51" s="12">
        <f>' B2级比赛 '!W51*5</f>
        <v>77.97</v>
      </c>
      <c r="X51" s="12">
        <f>' B2级比赛 '!X51*5</f>
        <v>74.58</v>
      </c>
      <c r="Y51" s="12">
        <f>' B2级比赛 '!Y51*5</f>
        <v>71.4725</v>
      </c>
      <c r="Z51" s="12">
        <f>' B2级比赛 '!Z51*5</f>
        <v>68.6136</v>
      </c>
      <c r="AA51" s="12">
        <f>' B2级比赛 '!AA51*5</f>
        <v>65.9746153846154</v>
      </c>
      <c r="AB51" s="12">
        <f>' B2级比赛 '!AB51*5</f>
        <v>63.5311111111111</v>
      </c>
      <c r="AC51" s="12">
        <f>' B2级比赛 '!AC51*5</f>
        <v>61.2621428571429</v>
      </c>
      <c r="AD51" s="12">
        <f>' B2级比赛 '!AD51*5</f>
        <v>59.1496551724138</v>
      </c>
      <c r="AE51" s="12">
        <f>' B2级比赛 '!AE51*5</f>
        <v>57.178</v>
      </c>
      <c r="AF51" s="12">
        <f>' B2级比赛 '!AF51*5</f>
        <v>55.3335483870968</v>
      </c>
      <c r="AG51" s="12">
        <f>' B2级比赛 '!AG51*5</f>
        <v>53.604375</v>
      </c>
      <c r="AH51" s="12">
        <f>' B2级比赛 '!AH51*5</f>
        <v>51.98</v>
      </c>
      <c r="AI51" s="12">
        <f>' B2级比赛 '!AI51*5</f>
        <v>50.4511764705882</v>
      </c>
      <c r="AJ51" s="12">
        <f>' B2级比赛 '!AJ51*5</f>
        <v>49.0097142857143</v>
      </c>
      <c r="AK51" s="12">
        <f>' B2级比赛 '!AK51*5</f>
        <v>47.6483333333333</v>
      </c>
      <c r="AL51" s="12">
        <f>' B2级比赛 '!AL51*5</f>
        <v>46.3605405405405</v>
      </c>
      <c r="AM51" s="12">
        <f>' B2级比赛 '!AM51*5</f>
        <v>45.1405263157895</v>
      </c>
      <c r="AN51" s="12">
        <f>' B2级比赛 '!AN51*5</f>
        <v>43.9830769230769</v>
      </c>
      <c r="AO51" s="12">
        <f>' B2级比赛 '!AO51*5</f>
        <v>42.8835</v>
      </c>
      <c r="AP51" s="12">
        <f>' B2级比赛 '!AP51*5</f>
        <v>41.8375609756097</v>
      </c>
      <c r="AQ51" s="12">
        <f>' B2级比赛 '!AQ51*5</f>
        <v>40.8414285714286</v>
      </c>
      <c r="AR51" s="12">
        <f>' B2级比赛 '!AR51*5</f>
        <v>39.8916279069767</v>
      </c>
      <c r="AS51" s="12">
        <f>' B2级比赛 '!AS51*5</f>
        <v>38.985</v>
      </c>
      <c r="AT51" s="12">
        <f>' B2级比赛 '!AT51*5</f>
        <v>38.1186666666667</v>
      </c>
      <c r="AU51" s="12">
        <f>' B2级比赛 '!AU51*5</f>
        <v>37.29</v>
      </c>
      <c r="AV51" s="12">
        <f>' B2级比赛 '!AV51*5</f>
        <v>36.4965957446808</v>
      </c>
      <c r="AW51" s="12">
        <f>' B2级比赛 '!AW51*5</f>
        <v>35.73625</v>
      </c>
      <c r="AX51" s="12">
        <f>' B2级比赛 '!AX51*5</f>
        <v>35.0069387755102</v>
      </c>
      <c r="AY51" s="12">
        <f>' B2级比赛 '!AY51*5</f>
        <v>34.3068</v>
      </c>
      <c r="AZ51" s="18">
        <f>' B2级比赛 '!AZ51*5</f>
        <v>30.8312745098039</v>
      </c>
      <c r="BA51" s="18">
        <f>' B2级比赛 '!BA51*5</f>
        <v>20.6894078947368</v>
      </c>
      <c r="BB51" s="18">
        <f>' B2级比赛 '!BB51*5</f>
        <v>15.5682673267327</v>
      </c>
      <c r="BC51" s="18">
        <f>' B2级比赛 '!BC51*5</f>
        <v>10.4132119205298</v>
      </c>
      <c r="BD51" s="18">
        <f>' B2级比赛 '!BD51*5</f>
        <v>7.82286069651741</v>
      </c>
      <c r="BE51" s="18">
        <f>' B2级比赛 '!BE51*5</f>
        <v>5.22390365448505</v>
      </c>
      <c r="BF51" s="18">
        <f>' B2级比赛 '!BF51*5</f>
        <v>3.56471321695761</v>
      </c>
      <c r="BG51" s="21">
        <f>' B2级比赛 '!BG51*5</f>
        <v>12480.5076643226</v>
      </c>
      <c r="BH51" s="20">
        <f>' B2级比赛 '!BH51*5</f>
        <v>8.05194042859526</v>
      </c>
      <c r="BI51" s="18"/>
      <c r="BJ51" s="18"/>
      <c r="BK51" s="18"/>
      <c r="BL51" s="18"/>
      <c r="BM51" s="18"/>
      <c r="BN51" s="23"/>
      <c r="BO51" s="23"/>
      <c r="BP51" s="23"/>
      <c r="BQ51" s="23"/>
      <c r="BR51" s="23"/>
      <c r="BS51" s="23"/>
      <c r="BT51" s="23"/>
      <c r="BU51" s="2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</row>
    <row r="52" spans="1:110">
      <c r="A52" s="11" t="s">
        <v>114</v>
      </c>
      <c r="B52" s="12">
        <f>' B2级比赛 '!B52*5</f>
        <v>1643.8675</v>
      </c>
      <c r="C52" s="12">
        <f>' B2级比赛 '!C52*5</f>
        <v>1380.8487</v>
      </c>
      <c r="D52" s="15">
        <f>' B2级比赛 '!D52*5</f>
        <v>1068.513875</v>
      </c>
      <c r="E52" s="15">
        <f>' B2级比赛 '!E52*5</f>
        <v>747.9597125</v>
      </c>
      <c r="F52" s="15">
        <f>' B2级比赛 '!F52*5</f>
        <v>427.40555</v>
      </c>
      <c r="G52" s="15">
        <f>' B2级比赛 '!G52*5</f>
        <v>356.171291666667</v>
      </c>
      <c r="H52" s="15">
        <f>' B2级比赛 '!H52*5</f>
        <v>305.289678571429</v>
      </c>
      <c r="I52" s="15">
        <f>' B2级比赛 '!I52*5</f>
        <v>267.12846875</v>
      </c>
      <c r="J52" s="15">
        <f>' B2级比赛 '!J52*5</f>
        <v>219.182333333333</v>
      </c>
      <c r="K52" s="15">
        <f>' B2级比赛 '!K52*5</f>
        <v>213.702775</v>
      </c>
      <c r="L52" s="15">
        <f>' B2级比赛 '!L52*5</f>
        <v>194.27525</v>
      </c>
      <c r="M52" s="15">
        <f>' B2级比赛 '!M52*5</f>
        <v>178.085645833333</v>
      </c>
      <c r="N52" s="15">
        <f>' B2级比赛 '!N52*5</f>
        <v>164.38675</v>
      </c>
      <c r="O52" s="15">
        <f>' B2级比赛 '!O52*5</f>
        <v>152.644839285714</v>
      </c>
      <c r="P52" s="12">
        <f>' B2级比赛 '!P52*5</f>
        <v>142.468516666667</v>
      </c>
      <c r="Q52" s="12">
        <f>' B2级比赛 '!Q52*5</f>
        <v>133.564234375</v>
      </c>
      <c r="R52" s="12">
        <f>' B2级比赛 '!R52*5</f>
        <v>125.707514705882</v>
      </c>
      <c r="S52" s="12">
        <f>' B2级比赛 '!S52*5</f>
        <v>118.723763888889</v>
      </c>
      <c r="T52" s="12">
        <f>' B2级比赛 '!T52*5</f>
        <v>112.475144736842</v>
      </c>
      <c r="U52" s="12">
        <f>' B2级比赛 '!U52*5</f>
        <v>106.8513875</v>
      </c>
      <c r="V52" s="12">
        <f>' B2级比赛 '!V52*5</f>
        <v>101.763226190476</v>
      </c>
      <c r="W52" s="12">
        <f>' B2级比赛 '!W52*5</f>
        <v>97.137625</v>
      </c>
      <c r="X52" s="12">
        <f>' B2级比赛 '!X52*5</f>
        <v>92.91425</v>
      </c>
      <c r="Y52" s="12">
        <f>' B2级比赛 '!Y52*5</f>
        <v>89.0428229166667</v>
      </c>
      <c r="Z52" s="12">
        <f>' B2级比赛 '!Z52*5</f>
        <v>85.48111</v>
      </c>
      <c r="AA52" s="12">
        <f>' B2级比赛 '!AA52*5</f>
        <v>82.193375</v>
      </c>
      <c r="AB52" s="12">
        <f>' B2级比赛 '!AB52*5</f>
        <v>79.1491759259259</v>
      </c>
      <c r="AC52" s="12">
        <f>' B2级比赛 '!AC52*5</f>
        <v>76.3224196428571</v>
      </c>
      <c r="AD52" s="12">
        <f>' B2级比赛 '!AD52*5</f>
        <v>73.6906120689655</v>
      </c>
      <c r="AE52" s="12">
        <f>' B2级比赛 '!AE52*5</f>
        <v>71.2342583333333</v>
      </c>
      <c r="AF52" s="12">
        <f>' B2级比赛 '!AF52*5</f>
        <v>68.9363790322581</v>
      </c>
      <c r="AG52" s="12">
        <f>' B2级比赛 '!AG52*5</f>
        <v>66.7821171875</v>
      </c>
      <c r="AH52" s="12">
        <f>' B2级比赛 '!AH52*5</f>
        <v>64.7584166666667</v>
      </c>
      <c r="AI52" s="12">
        <f>' B2级比赛 '!AI52*5</f>
        <v>62.8537573529412</v>
      </c>
      <c r="AJ52" s="12">
        <f>' B2级比赛 '!AJ52*5</f>
        <v>61.0579357142857</v>
      </c>
      <c r="AK52" s="12">
        <f>' B2级比赛 '!AK52*5</f>
        <v>59.3618819444444</v>
      </c>
      <c r="AL52" s="12">
        <f>' B2级比赛 '!AL52*5</f>
        <v>57.7575067567567</v>
      </c>
      <c r="AM52" s="12">
        <f>' B2级比赛 '!AM52*5</f>
        <v>56.2375723684211</v>
      </c>
      <c r="AN52" s="12">
        <f>' B2级比赛 '!AN52*5</f>
        <v>54.7955833333333</v>
      </c>
      <c r="AO52" s="12">
        <f>' B2级比赛 '!AO52*5</f>
        <v>53.42569375</v>
      </c>
      <c r="AP52" s="12">
        <f>' B2级比赛 '!AP52*5</f>
        <v>52.1226280487805</v>
      </c>
      <c r="AQ52" s="12">
        <f>' B2级比赛 '!AQ52*5</f>
        <v>50.8816130952381</v>
      </c>
      <c r="AR52" s="12">
        <f>' B2级比赛 '!AR52*5</f>
        <v>49.6983197674419</v>
      </c>
      <c r="AS52" s="12">
        <f>' B2级比赛 '!AS52*5</f>
        <v>48.5688125</v>
      </c>
      <c r="AT52" s="12">
        <f>' B2级比赛 '!AT52*5</f>
        <v>47.4895055555556</v>
      </c>
      <c r="AU52" s="12">
        <f>' B2级比赛 '!AU52*5</f>
        <v>46.457125</v>
      </c>
      <c r="AV52" s="12">
        <f>' B2级比赛 '!AV52*5</f>
        <v>45.4686755319149</v>
      </c>
      <c r="AW52" s="12">
        <f>' B2级比赛 '!AW52*5</f>
        <v>44.5214114583333</v>
      </c>
      <c r="AX52" s="12">
        <f>' B2级比赛 '!AX52*5</f>
        <v>43.6128112244898</v>
      </c>
      <c r="AY52" s="12">
        <f>' B2级比赛 '!AY52*5</f>
        <v>42.740555</v>
      </c>
      <c r="AZ52" s="18">
        <f>' B2级比赛 '!AZ52*5</f>
        <v>41.9025049019608</v>
      </c>
      <c r="BA52" s="18">
        <f>' B2级比赛 '!BA52*5</f>
        <v>28.1187861842105</v>
      </c>
      <c r="BB52" s="18">
        <f>' B2级比赛 '!BB52*5</f>
        <v>19.531099009901</v>
      </c>
      <c r="BC52" s="18">
        <f>' B2级比赛 '!BC52*5</f>
        <v>13.0638476821192</v>
      </c>
      <c r="BD52" s="18">
        <f>' B2级比赛 '!BD52*5</f>
        <v>8.99628980099502</v>
      </c>
      <c r="BE52" s="18">
        <f>' B2级比赛 '!BE52*5</f>
        <v>6.00748920265781</v>
      </c>
      <c r="BF52" s="18">
        <f>' B2级比赛 '!BF52*5</f>
        <v>4.09942019950125</v>
      </c>
      <c r="BG52" s="18">
        <f>' B2级比赛 '!BG52*5</f>
        <v>3.28117265469062</v>
      </c>
      <c r="BH52" s="21">
        <f>' B2级比赛 '!BH52*5</f>
        <v>16096.6028039237</v>
      </c>
      <c r="BI52" s="20">
        <f>' B2级比赛 '!BI52*5</f>
        <v>8.04830140196185</v>
      </c>
      <c r="BJ52" s="18"/>
      <c r="BK52" s="18"/>
      <c r="BL52" s="18"/>
      <c r="BM52" s="18"/>
      <c r="BN52" s="23"/>
      <c r="BO52" s="23"/>
      <c r="BP52" s="23"/>
      <c r="BQ52" s="23"/>
      <c r="BR52" s="23"/>
      <c r="BS52" s="23"/>
      <c r="BT52" s="23"/>
      <c r="BU52" s="2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>
      <c r="A53" s="11" t="s">
        <v>115</v>
      </c>
      <c r="B53" s="12">
        <f>' B2级比赛 '!B53*5</f>
        <v>1890.447625</v>
      </c>
      <c r="C53" s="12">
        <f>' B2级比赛 '!C53*5</f>
        <v>1720.30733875</v>
      </c>
      <c r="D53" s="15">
        <f>' B2级比赛 '!D53*5</f>
        <v>1417.83571875</v>
      </c>
      <c r="E53" s="15">
        <f>' B2级比赛 '!E53*5</f>
        <v>1124.816336875</v>
      </c>
      <c r="F53" s="15">
        <f>' B2级比赛 '!F53*5</f>
        <v>642.7521925</v>
      </c>
      <c r="G53" s="15">
        <f>' B2级比赛 '!G53*5</f>
        <v>535.626827083333</v>
      </c>
      <c r="H53" s="15">
        <f>' B2级比赛 '!H53*5</f>
        <v>459.108708928571</v>
      </c>
      <c r="I53" s="15">
        <f>' B2级比赛 '!I53*5</f>
        <v>401.7201203125</v>
      </c>
      <c r="J53" s="15">
        <f>' B2级比赛 '!J53*5</f>
        <v>357.084551388889</v>
      </c>
      <c r="K53" s="15">
        <f>' B2级比赛 '!K53*5</f>
        <v>321.37609625</v>
      </c>
      <c r="L53" s="15">
        <f>' B2级比赛 '!L53*5</f>
        <v>292.1600875</v>
      </c>
      <c r="M53" s="15">
        <f>' B2级比赛 '!M53*5</f>
        <v>267.813413541667</v>
      </c>
      <c r="N53" s="15">
        <f>' B2级比赛 '!N53*5</f>
        <v>247.212381730769</v>
      </c>
      <c r="O53" s="15">
        <f>' B2级比赛 '!O53*5</f>
        <v>229.554354464286</v>
      </c>
      <c r="P53" s="12">
        <f>' B2级比赛 '!P53*5</f>
        <v>214.250730833333</v>
      </c>
      <c r="Q53" s="12">
        <f>' B2级比赛 '!Q53*5</f>
        <v>200.86006015625</v>
      </c>
      <c r="R53" s="12">
        <f>' B2级比赛 '!R53*5</f>
        <v>166.804202205882</v>
      </c>
      <c r="S53" s="12">
        <f>' B2级比赛 '!S53*5</f>
        <v>178.542275694444</v>
      </c>
      <c r="T53" s="12">
        <f>' B2级比赛 '!T53*5</f>
        <v>169.145313815789</v>
      </c>
      <c r="U53" s="12">
        <f>' B2级比赛 '!U53*5</f>
        <v>160.688048125</v>
      </c>
      <c r="V53" s="12">
        <f>' B2级比赛 '!V53*5</f>
        <v>153.036236309524</v>
      </c>
      <c r="W53" s="12">
        <f>' B2级比赛 '!W53*5</f>
        <v>146.08004375</v>
      </c>
      <c r="X53" s="12">
        <f>' B2级比赛 '!X53*5</f>
        <v>139.7287375</v>
      </c>
      <c r="Y53" s="12">
        <f>' B2级比赛 '!Y53*5</f>
        <v>133.906706770833</v>
      </c>
      <c r="Z53" s="12">
        <f>' B2级比赛 '!Z53*5</f>
        <v>128.5504385</v>
      </c>
      <c r="AA53" s="12">
        <f>' B2级比赛 '!AA53*5</f>
        <v>123.606190865385</v>
      </c>
      <c r="AB53" s="12">
        <f>' B2级比赛 '!AB53*5</f>
        <v>119.028183796296</v>
      </c>
      <c r="AC53" s="12">
        <f>' B2级比赛 '!AC53*5</f>
        <v>114.777177232143</v>
      </c>
      <c r="AD53" s="12">
        <f>' B2级比赛 '!AD53*5</f>
        <v>110.819343534483</v>
      </c>
      <c r="AE53" s="12">
        <f>' B2级比赛 '!AE53*5</f>
        <v>107.125365416667</v>
      </c>
      <c r="AF53" s="12">
        <f>' B2级比赛 '!AF53*5</f>
        <v>103.669708467742</v>
      </c>
      <c r="AG53" s="12">
        <f>' B2级比赛 '!AG53*5</f>
        <v>100.430030078125</v>
      </c>
      <c r="AH53" s="12">
        <f>' B2级比赛 '!AH53*5</f>
        <v>97.3866958333333</v>
      </c>
      <c r="AI53" s="12">
        <f>' B2级比赛 '!AI53*5</f>
        <v>94.52238125</v>
      </c>
      <c r="AJ53" s="12">
        <f>' B2级比赛 '!AJ53*5</f>
        <v>91.8217417857143</v>
      </c>
      <c r="AK53" s="12">
        <f>' B2级比赛 '!AK53*5</f>
        <v>89.2711378472222</v>
      </c>
      <c r="AL53" s="12">
        <f>' B2级比赛 '!AL53*5</f>
        <v>86.8584043918919</v>
      </c>
      <c r="AM53" s="12">
        <f>' B2级比赛 '!AM53*5</f>
        <v>84.5726569078947</v>
      </c>
      <c r="AN53" s="12">
        <f>' B2级比赛 '!AN53*5</f>
        <v>82.4041272435897</v>
      </c>
      <c r="AO53" s="12">
        <f>' B2级比赛 '!AO53*5</f>
        <v>80.3440240625</v>
      </c>
      <c r="AP53" s="12">
        <f>' B2级比赛 '!AP53*5</f>
        <v>78.3844137195122</v>
      </c>
      <c r="AQ53" s="12">
        <f>' B2级比赛 '!AQ53*5</f>
        <v>72.0170523809524</v>
      </c>
      <c r="AR53" s="12">
        <f>' B2级比赛 '!AR53*5</f>
        <v>70.3422372093023</v>
      </c>
      <c r="AS53" s="12">
        <f>' B2级比赛 '!AS53*5</f>
        <v>68.74355</v>
      </c>
      <c r="AT53" s="12">
        <f>' B2级比赛 '!AT53*5</f>
        <v>67.2159155555555</v>
      </c>
      <c r="AU53" s="12">
        <f>' B2级比赛 '!AU53*5</f>
        <v>65.7547</v>
      </c>
      <c r="AV53" s="12">
        <f>' B2级比赛 '!AV53*5</f>
        <v>64.3556638297872</v>
      </c>
      <c r="AW53" s="12">
        <f>' B2级比赛 '!AW53*5</f>
        <v>63.0149208333333</v>
      </c>
      <c r="AX53" s="12">
        <f>' B2级比赛 '!AX53*5</f>
        <v>61.7289020408163</v>
      </c>
      <c r="AY53" s="12">
        <f>' B2级比赛 '!AY53*5</f>
        <v>60.494324</v>
      </c>
      <c r="AZ53" s="18">
        <f>' B2级比赛 '!AZ53*5</f>
        <v>59.3081607843137</v>
      </c>
      <c r="BA53" s="18">
        <f>' B2级比赛 '!BA53*5</f>
        <v>37.3114662828947</v>
      </c>
      <c r="BB53" s="18">
        <f>' B2级比赛 '!BB53*5</f>
        <v>28.0759548267327</v>
      </c>
      <c r="BC53" s="18">
        <f>' B2级比赛 '!BC53*5</f>
        <v>18.7792810430464</v>
      </c>
      <c r="BD53" s="18">
        <f>' B2级比赛 '!BD53*5</f>
        <v>14.1078180970149</v>
      </c>
      <c r="BE53" s="18">
        <f>' B2级比赛 '!BE53*5</f>
        <v>9.42083534053156</v>
      </c>
      <c r="BF53" s="18">
        <f>' B2级比赛 '!BF53*5</f>
        <v>7.07149984413965</v>
      </c>
      <c r="BG53" s="18">
        <f>' B2级比赛 '!BG53*5</f>
        <v>5.66002282934132</v>
      </c>
      <c r="BH53" s="18">
        <f>' B2级比赛 '!BH53*5</f>
        <v>3.7758607689747</v>
      </c>
      <c r="BI53" s="21">
        <f>' B2级比赛 '!BI53*5</f>
        <v>24035.3360929351</v>
      </c>
      <c r="BJ53" s="20">
        <f>' B2级比赛 '!BJ53*5</f>
        <v>8.01177869764503</v>
      </c>
      <c r="BK53" s="18"/>
      <c r="BL53" s="18"/>
      <c r="BM53" s="18"/>
      <c r="BN53" s="23"/>
      <c r="BO53" s="23"/>
      <c r="BP53" s="23"/>
      <c r="BQ53" s="23"/>
      <c r="BR53" s="23"/>
      <c r="BS53" s="23"/>
      <c r="BT53" s="23"/>
      <c r="BU53" s="2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>
      <c r="A54" s="6" t="s">
        <v>116</v>
      </c>
      <c r="B54" s="12">
        <f>' B2级比赛 '!B54*5</f>
        <v>2174.01476875</v>
      </c>
      <c r="C54" s="12">
        <f>' B2级比赛 '!C54*5</f>
        <v>1978.3534395625</v>
      </c>
      <c r="D54" s="15">
        <f>' B2级比赛 '!D54*5</f>
        <v>1739.211815</v>
      </c>
      <c r="E54" s="15">
        <f>' B2级比赛 '!E54*5</f>
        <v>1445.71982121875</v>
      </c>
      <c r="F54" s="15">
        <f>' B2级比赛 '!F54*5</f>
        <v>826.125612125</v>
      </c>
      <c r="G54" s="15">
        <f>' B2级比赛 '!G54*5</f>
        <v>688.438010104166</v>
      </c>
      <c r="H54" s="15">
        <f>' B2级比赛 '!H54*5</f>
        <v>590.089722946428</v>
      </c>
      <c r="I54" s="15">
        <f>' B2级比赛 '!I54*5</f>
        <v>516.328507578125</v>
      </c>
      <c r="J54" s="15">
        <f>' B2级比赛 '!J54*5</f>
        <v>458.958673402778</v>
      </c>
      <c r="K54" s="15">
        <f>' B2级比赛 '!K54*5</f>
        <v>413.0628060625</v>
      </c>
      <c r="L54" s="15">
        <f>' B2级比赛 '!L54*5</f>
        <v>375.511641875</v>
      </c>
      <c r="M54" s="15">
        <f>' B2级比赛 '!M54*5</f>
        <v>344.219005052083</v>
      </c>
      <c r="N54" s="15">
        <f>' B2级比赛 '!N54*5</f>
        <v>317.740620048077</v>
      </c>
      <c r="O54" s="15">
        <f>' B2级比赛 '!O54*5</f>
        <v>295.044861473214</v>
      </c>
      <c r="P54" s="12">
        <f>' B2级比赛 '!P54*5</f>
        <v>275.375204041667</v>
      </c>
      <c r="Q54" s="12">
        <f>' B2级比赛 '!Q54*5</f>
        <v>258.164253789062</v>
      </c>
      <c r="R54" s="12">
        <f>' B2级比赛 '!R54*5</f>
        <v>242.978121213235</v>
      </c>
      <c r="S54" s="12">
        <f>' B2级比赛 '!S54*5</f>
        <v>229.479336701389</v>
      </c>
      <c r="T54" s="12">
        <f>' B2级比赛 '!T54*5</f>
        <v>217.401476875</v>
      </c>
      <c r="U54" s="12">
        <f>' B2级比赛 '!U54*5</f>
        <v>206.53140303125</v>
      </c>
      <c r="V54" s="12">
        <f>' B2级比赛 '!V54*5</f>
        <v>196.696574315476</v>
      </c>
      <c r="W54" s="12">
        <f>' B2级比赛 '!W54*5</f>
        <v>187.7558209375</v>
      </c>
      <c r="X54" s="12">
        <f>' B2级比赛 '!X54*5</f>
        <v>179.592524375</v>
      </c>
      <c r="Y54" s="12">
        <f>' B2级比赛 '!Y54*5</f>
        <v>172.109502526042</v>
      </c>
      <c r="Z54" s="12">
        <f>' B2级比赛 '!Z54*5</f>
        <v>165.225122425</v>
      </c>
      <c r="AA54" s="12">
        <f>' B2级比赛 '!AA54*5</f>
        <v>158.870310024038</v>
      </c>
      <c r="AB54" s="12">
        <f>' B2级比赛 '!AB54*5</f>
        <v>152.986224467593</v>
      </c>
      <c r="AC54" s="12">
        <f>' B2级比赛 '!AC54*5</f>
        <v>147.522430736607</v>
      </c>
      <c r="AD54" s="12">
        <f>' B2级比赛 '!AD54*5</f>
        <v>142.435450366379</v>
      </c>
      <c r="AE54" s="12">
        <f>' B2级比赛 '!AE54*5</f>
        <v>137.687602020833</v>
      </c>
      <c r="AF54" s="12">
        <f>' B2级比赛 '!AF54*5</f>
        <v>133.246066471774</v>
      </c>
      <c r="AG54" s="12">
        <f>' B2级比赛 '!AG54*5</f>
        <v>129.082126894531</v>
      </c>
      <c r="AH54" s="12">
        <f>' B2级比赛 '!AH54*5</f>
        <v>125.170547291667</v>
      </c>
      <c r="AI54" s="12">
        <f>' B2级比赛 '!AI54*5</f>
        <v>121.489060606618</v>
      </c>
      <c r="AJ54" s="12">
        <f>' B2级比赛 '!AJ54*5</f>
        <v>118.017944589286</v>
      </c>
      <c r="AK54" s="12">
        <f>' B2级比赛 '!AK54*5</f>
        <v>114.739668350694</v>
      </c>
      <c r="AL54" s="12">
        <f>' B2级比赛 '!AL54*5</f>
        <v>111.638596233108</v>
      </c>
      <c r="AM54" s="12">
        <f>' B2级比赛 '!AM54*5</f>
        <v>108.7007384375</v>
      </c>
      <c r="AN54" s="12">
        <f>' B2级比赛 '!AN54*5</f>
        <v>105.913540016026</v>
      </c>
      <c r="AO54" s="12">
        <f>' B2级比赛 '!AO54*5</f>
        <v>103.265701515625</v>
      </c>
      <c r="AP54" s="12">
        <f>' B2级比赛 '!AP54*5</f>
        <v>100.747025868902</v>
      </c>
      <c r="AQ54" s="12">
        <f>' B2级比赛 '!AQ54*5</f>
        <v>98.3482871577381</v>
      </c>
      <c r="AR54" s="12">
        <f>' B2级比赛 '!AR54*5</f>
        <v>96.0611176889535</v>
      </c>
      <c r="AS54" s="12">
        <f>' B2级比赛 '!AS54*5</f>
        <v>93.87791046875</v>
      </c>
      <c r="AT54" s="12">
        <f>' B2级比赛 '!AT54*5</f>
        <v>91.7917346805555</v>
      </c>
      <c r="AU54" s="12">
        <f>' B2级比赛 '!AU54*5</f>
        <v>89.7962621875</v>
      </c>
      <c r="AV54" s="12">
        <f>' B2级比赛 '!AV54*5</f>
        <v>87.8857034175532</v>
      </c>
      <c r="AW54" s="12">
        <f>' B2级比赛 '!AW54*5</f>
        <v>86.0547512630208</v>
      </c>
      <c r="AX54" s="12">
        <f>' B2级比赛 '!AX54*5</f>
        <v>84.2985318494897</v>
      </c>
      <c r="AY54" s="12">
        <f>' B2级比赛 '!AY54*5</f>
        <v>82.6125612125</v>
      </c>
      <c r="AZ54" s="18">
        <f>' B2级比赛 '!AZ54*5</f>
        <v>80.9927070710784</v>
      </c>
      <c r="BA54" s="18">
        <f>' B2级比赛 '!BA54*5</f>
        <v>54.35036921875</v>
      </c>
      <c r="BB54" s="18">
        <f>' B2级比赛 '!BB54*5</f>
        <v>40.8973075309406</v>
      </c>
      <c r="BC54" s="18">
        <f>' B2级比赛 '!BC54*5</f>
        <v>27.3551527193709</v>
      </c>
      <c r="BD54" s="18">
        <f>' B2级比赛 '!BD54*5</f>
        <v>20.5503883613184</v>
      </c>
      <c r="BE54" s="18">
        <f>' B2级比赛 '!BE54*5</f>
        <v>13.7230168127076</v>
      </c>
      <c r="BF54" s="18">
        <f>' B2级比赛 '!BF54*5</f>
        <v>9.75866978491272</v>
      </c>
      <c r="BG54" s="18">
        <f>' B2级比赛 '!BG54*5</f>
        <v>7.81083150449101</v>
      </c>
      <c r="BH54" s="18">
        <f>' B2级比赛 '!BH54*5</f>
        <v>5.21068786118509</v>
      </c>
      <c r="BI54" s="18">
        <f>' B2级比赛 '!BI54*5</f>
        <v>3.6921329739011</v>
      </c>
      <c r="BJ54" s="21">
        <f>' B2级比赛 '!BJ54*5</f>
        <v>33617.2222832712</v>
      </c>
      <c r="BK54" s="20">
        <f>' B2级比赛 '!BK54*5</f>
        <v>8.004100543636</v>
      </c>
      <c r="BL54" s="18"/>
      <c r="BM54" s="18"/>
      <c r="BN54" s="23"/>
      <c r="BO54" s="23"/>
      <c r="BP54" s="23"/>
      <c r="BQ54" s="23"/>
      <c r="BR54" s="23"/>
      <c r="BS54" s="23"/>
      <c r="BT54" s="23"/>
      <c r="BU54" s="2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>
      <c r="A55" s="11" t="s">
        <v>117</v>
      </c>
      <c r="B55" s="12">
        <f>' B2级比赛 '!B55*5</f>
        <v>2500.1169840625</v>
      </c>
      <c r="C55" s="12">
        <f>' B2级比赛 '!C55*5</f>
        <v>2275.10645549687</v>
      </c>
      <c r="D55" s="15">
        <f>' B2级比赛 '!D55*5</f>
        <v>2000.09358725</v>
      </c>
      <c r="E55" s="15">
        <f>' B2级比赛 '!E55*5</f>
        <v>1837.58598328594</v>
      </c>
      <c r="F55" s="15">
        <f>' B2级比赛 '!F55*5</f>
        <v>1200.05615235</v>
      </c>
      <c r="G55" s="15">
        <f>' B2级比赛 '!G55*5</f>
        <v>1000.046793625</v>
      </c>
      <c r="H55" s="15">
        <f>' B2级比赛 '!H55*5</f>
        <v>857.182965964285</v>
      </c>
      <c r="I55" s="15">
        <f>' B2级比赛 '!I55*5</f>
        <v>750.03509521875</v>
      </c>
      <c r="J55" s="15">
        <f>' B2级比赛 '!J55*5</f>
        <v>666.697862416666</v>
      </c>
      <c r="K55" s="15">
        <f>' B2级比赛 '!K55*5</f>
        <v>600.028076175</v>
      </c>
      <c r="L55" s="15">
        <f>' B2级比赛 '!L55*5</f>
        <v>545.48006925</v>
      </c>
      <c r="M55" s="15">
        <f>' B2级比赛 '!M55*5</f>
        <v>500.0233968125</v>
      </c>
      <c r="N55" s="15">
        <f>' B2级比赛 '!N55*5</f>
        <v>461.560058596154</v>
      </c>
      <c r="O55" s="15">
        <f>' B2级比赛 '!O55*5</f>
        <v>428.591482982143</v>
      </c>
      <c r="P55" s="12">
        <f>' B2级比赛 '!P55*5</f>
        <v>400.01871745</v>
      </c>
      <c r="Q55" s="12">
        <f>' B2级比赛 '!Q55*5</f>
        <v>375.017547609375</v>
      </c>
      <c r="R55" s="12">
        <f>' B2级比赛 '!R55*5</f>
        <v>352.957691867647</v>
      </c>
      <c r="S55" s="12">
        <f>' B2级比赛 '!S55*5</f>
        <v>333.348931208333</v>
      </c>
      <c r="T55" s="12">
        <f>' B2级比赛 '!T55*5</f>
        <v>315.804250618421</v>
      </c>
      <c r="U55" s="12">
        <f>' B2级比赛 '!U55*5</f>
        <v>300.0140380875</v>
      </c>
      <c r="V55" s="12">
        <f>' B2级比赛 '!V55*5</f>
        <v>285.727655321428</v>
      </c>
      <c r="W55" s="12">
        <f>' B2级比赛 '!W55*5</f>
        <v>272.740034625</v>
      </c>
      <c r="X55" s="12">
        <f>' B2级比赛 '!X55*5</f>
        <v>260.88177225</v>
      </c>
      <c r="Y55" s="12">
        <f>' B2级比赛 '!Y55*5</f>
        <v>250.01169840625</v>
      </c>
      <c r="Z55" s="12">
        <f>' B2级比赛 '!Z55*5</f>
        <v>240.01123047</v>
      </c>
      <c r="AA55" s="12">
        <f>' B2级比赛 '!AA55*5</f>
        <v>230.780029298077</v>
      </c>
      <c r="AB55" s="12">
        <f>' B2级比赛 '!AB55*5</f>
        <v>222.232620805555</v>
      </c>
      <c r="AC55" s="12">
        <f>' B2级比赛 '!AC55*5</f>
        <v>214.295741491071</v>
      </c>
      <c r="AD55" s="12">
        <f>' B2级比赛 '!AD55*5</f>
        <v>206.906233163793</v>
      </c>
      <c r="AE55" s="12">
        <f>' B2级比赛 '!AE55*5</f>
        <v>200.009358725</v>
      </c>
      <c r="AF55" s="12">
        <f>' B2级比赛 '!AF55*5</f>
        <v>193.557443927419</v>
      </c>
      <c r="AG55" s="12">
        <f>' B2级比赛 '!AG55*5</f>
        <v>187.508773804687</v>
      </c>
      <c r="AH55" s="12">
        <f>' B2级比赛 '!AH55*5</f>
        <v>181.82668975</v>
      </c>
      <c r="AI55" s="12">
        <f>' B2级比赛 '!AI55*5</f>
        <v>176.478845933823</v>
      </c>
      <c r="AJ55" s="12">
        <f>' B2级比赛 '!AJ55*5</f>
        <v>171.436593192857</v>
      </c>
      <c r="AK55" s="12">
        <f>' B2级比赛 '!AK55*5</f>
        <v>166.674465604167</v>
      </c>
      <c r="AL55" s="12">
        <f>' B2级比赛 '!AL55*5</f>
        <v>162.169750317567</v>
      </c>
      <c r="AM55" s="12">
        <f>' B2级比赛 '!AM55*5</f>
        <v>157.90212530921</v>
      </c>
      <c r="AN55" s="12">
        <f>' B2级比赛 '!AN55*5</f>
        <v>153.853352865385</v>
      </c>
      <c r="AO55" s="12">
        <f>' B2级比赛 '!AO55*5</f>
        <v>150.00701904375</v>
      </c>
      <c r="AP55" s="12">
        <f>' B2级比赛 '!AP55*5</f>
        <v>146.348311262195</v>
      </c>
      <c r="AQ55" s="12">
        <f>' B2级比赛 '!AQ55*5</f>
        <v>142.863827660714</v>
      </c>
      <c r="AR55" s="12">
        <f>' B2级比赛 '!AR55*5</f>
        <v>139.541413063953</v>
      </c>
      <c r="AS55" s="12">
        <f>' B2级比赛 '!AS55*5</f>
        <v>136.3700173125</v>
      </c>
      <c r="AT55" s="12">
        <f>' B2级比赛 '!AT55*5</f>
        <v>133.339572483333</v>
      </c>
      <c r="AU55" s="12">
        <f>' B2级比赛 '!AU55*5</f>
        <v>130.440886125</v>
      </c>
      <c r="AV55" s="12">
        <f>' B2级比赛 '!AV55*5</f>
        <v>127.66554812234</v>
      </c>
      <c r="AW55" s="12">
        <f>' B2级比赛 '!AW55*5</f>
        <v>125.005849203125</v>
      </c>
      <c r="AX55" s="12">
        <f>' B2级比赛 '!AX55*5</f>
        <v>122.454709423469</v>
      </c>
      <c r="AY55" s="12">
        <f>' B2级比赛 '!AY55*5</f>
        <v>120.005615235</v>
      </c>
      <c r="AZ55" s="18">
        <f>' B2级比赛 '!AZ55*5</f>
        <v>117.652563955882</v>
      </c>
      <c r="BA55" s="18">
        <f>' B2级比赛 '!BA55*5</f>
        <v>78.9510626546052</v>
      </c>
      <c r="BB55" s="18">
        <f>' B2级比赛 '!BB55*5</f>
        <v>59.4087204133663</v>
      </c>
      <c r="BC55" s="18">
        <f>' B2级比赛 '!BC55*5</f>
        <v>39.7369586870861</v>
      </c>
      <c r="BD55" s="18">
        <f>' B2级比赛 '!BD55*5</f>
        <v>29.8521430932836</v>
      </c>
      <c r="BE55" s="18">
        <f>' B2级比赛 '!BE55*5</f>
        <v>19.9344875805648</v>
      </c>
      <c r="BF55" s="18">
        <f>' B2级比赛 '!BF55*5</f>
        <v>13.0928819614246</v>
      </c>
      <c r="BG55" s="18">
        <f>' B2级比赛 '!BG55*5</f>
        <v>10.4795322685254</v>
      </c>
      <c r="BH55" s="18">
        <f>' B2级比赛 '!BH55*5</f>
        <v>6.99100621375666</v>
      </c>
      <c r="BI55" s="18">
        <f>' B2级比赛 '!BI55*5</f>
        <v>5.24500066586538</v>
      </c>
      <c r="BJ55" s="18">
        <f>' B2级比赛 '!BJ55*5</f>
        <v>3.49783188976099</v>
      </c>
      <c r="BK55" s="21">
        <f>' B2级比赛 '!BK55*5</f>
        <v>48008.1901067196</v>
      </c>
      <c r="BL55" s="20">
        <f>' B2级比赛 '!BL55*5</f>
        <v>8.00136501778659</v>
      </c>
      <c r="BM55" s="18"/>
      <c r="BN55" s="23"/>
      <c r="BO55" s="23"/>
      <c r="BP55" s="23"/>
      <c r="BQ55" s="23"/>
      <c r="BR55" s="23"/>
      <c r="BS55" s="23"/>
      <c r="BT55" s="23"/>
      <c r="BU55" s="2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="2" customFormat="1" ht="21.6" spans="1:110">
      <c r="A56" s="16" t="s">
        <v>118</v>
      </c>
      <c r="B56" s="17">
        <f>' B2级比赛 '!B56*5</f>
        <v>2875.13453167187</v>
      </c>
      <c r="C56" s="17">
        <f>' B2级比赛 '!C56*5</f>
        <v>2616.3724238214</v>
      </c>
      <c r="D56" s="17">
        <f>' B2级比赛 '!D56*5</f>
        <v>2443.86435192109</v>
      </c>
      <c r="E56" s="17">
        <f>' B2级比赛 '!E56*5</f>
        <v>2213.85358938734</v>
      </c>
      <c r="F56" s="17">
        <f>' B2级比赛 '!F56*5</f>
        <v>1610.07533773625</v>
      </c>
      <c r="G56" s="17">
        <f>' B2级比赛 '!G56*5</f>
        <v>1341.72944811354</v>
      </c>
      <c r="H56" s="17">
        <f>' B2级比赛 '!H56*5</f>
        <v>1150.05381266875</v>
      </c>
      <c r="I56" s="17">
        <f>' B2级比赛 '!I56*5</f>
        <v>1006.29708608516</v>
      </c>
      <c r="J56" s="17">
        <f>' B2级比赛 '!J56*5</f>
        <v>894.486298742361</v>
      </c>
      <c r="K56" s="17">
        <f>' B2级比赛 '!K56*5</f>
        <v>805.037668868125</v>
      </c>
      <c r="L56" s="17">
        <f>' B2级比赛 '!L56*5</f>
        <v>731.85242624375</v>
      </c>
      <c r="M56" s="17">
        <f>' B2级比赛 '!M56*5</f>
        <v>670.864724056771</v>
      </c>
      <c r="N56" s="17">
        <f>' B2级比赛 '!N56*5</f>
        <v>619.259745283173</v>
      </c>
      <c r="O56" s="17">
        <f>' B2级比赛 '!O56*5</f>
        <v>575.026906334375</v>
      </c>
      <c r="P56" s="17">
        <f>' B2级比赛 '!P56*5</f>
        <v>536.691779245416</v>
      </c>
      <c r="Q56" s="17">
        <f>' B2级比赛 '!Q56*5</f>
        <v>503.148543042578</v>
      </c>
      <c r="R56" s="17">
        <f>' B2级比赛 '!R56*5</f>
        <v>473.551569922426</v>
      </c>
      <c r="S56" s="17">
        <f>' B2级比赛 '!S56*5</f>
        <v>447.24314937118</v>
      </c>
      <c r="T56" s="17">
        <f>' B2级比赛 '!T56*5</f>
        <v>423.704036246381</v>
      </c>
      <c r="U56" s="17">
        <f>' B2级比赛 '!U56*5</f>
        <v>402.518834434062</v>
      </c>
      <c r="V56" s="17">
        <f>' B2级比赛 '!V56*5</f>
        <v>383.351270889583</v>
      </c>
      <c r="W56" s="17">
        <f>' B2级比赛 '!W56*5</f>
        <v>365.926213121875</v>
      </c>
      <c r="X56" s="17">
        <f>' B2级比赛 '!X56*5</f>
        <v>350.01637776875</v>
      </c>
      <c r="Y56" s="17">
        <f>' B2级比赛 '!Y56*5</f>
        <v>335.432362028385</v>
      </c>
      <c r="Z56" s="17">
        <f>' B2级比赛 '!Z56*5</f>
        <v>322.01506754725</v>
      </c>
      <c r="AA56" s="17">
        <f>' B2级比赛 '!AA56*5</f>
        <v>309.629872641586</v>
      </c>
      <c r="AB56" s="17">
        <f>' B2级比赛 '!AB56*5</f>
        <v>298.162099580787</v>
      </c>
      <c r="AC56" s="17">
        <f>' B2级比赛 '!AC56*5</f>
        <v>287.513453167187</v>
      </c>
      <c r="AD56" s="17">
        <f>' B2级比赛 '!AD56*5</f>
        <v>277.599196161422</v>
      </c>
      <c r="AE56" s="17">
        <f>' B2级比赛 '!AE56*5</f>
        <v>268.345889622708</v>
      </c>
      <c r="AF56" s="17">
        <f>' B2级比赛 '!AF56*5</f>
        <v>259.689570602621</v>
      </c>
      <c r="AG56" s="17">
        <f>' B2级比赛 '!AG56*5</f>
        <v>251.574271521289</v>
      </c>
      <c r="AH56" s="17">
        <f>' B2级比赛 '!AH56*5</f>
        <v>243.950808747917</v>
      </c>
      <c r="AI56" s="17">
        <f>' B2级比赛 '!AI56*5</f>
        <v>236.775784961213</v>
      </c>
      <c r="AJ56" s="17">
        <f>' B2级比赛 '!AJ56*5</f>
        <v>230.01076253375</v>
      </c>
      <c r="AK56" s="17">
        <f>' B2级比赛 '!AK56*5</f>
        <v>223.62157468559</v>
      </c>
      <c r="AL56" s="17">
        <f>' B2级比赛 '!AL56*5</f>
        <v>217.577748342736</v>
      </c>
      <c r="AM56" s="17">
        <f>' B2级比赛 '!AM56*5</f>
        <v>211.852018123191</v>
      </c>
      <c r="AN56" s="17">
        <f>' B2级比赛 '!AN56*5</f>
        <v>206.419915094391</v>
      </c>
      <c r="AO56" s="17">
        <f>' B2级比赛 '!AO56*5</f>
        <v>201.259417217031</v>
      </c>
      <c r="AP56" s="17">
        <f>' B2级比赛 '!AP56*5</f>
        <v>196.350650943445</v>
      </c>
      <c r="AQ56" s="17">
        <f>' B2级比赛 '!AQ56*5</f>
        <v>191.675635444792</v>
      </c>
      <c r="AR56" s="17">
        <f>' B2级比赛 '!AR56*5</f>
        <v>187.218062527471</v>
      </c>
      <c r="AS56" s="17">
        <f>' B2级比赛 '!AS56*5</f>
        <v>182.963106560937</v>
      </c>
      <c r="AT56" s="17">
        <f>' B2级比赛 '!AT56*5</f>
        <v>178.897259748472</v>
      </c>
      <c r="AU56" s="17">
        <f>' B2级比赛 '!AU56*5</f>
        <v>175.008188884375</v>
      </c>
      <c r="AV56" s="17">
        <f>' B2级比赛 '!AV56*5</f>
        <v>171.284610397473</v>
      </c>
      <c r="AW56" s="17">
        <f>' B2级比赛 '!AW56*5</f>
        <v>167.716181014193</v>
      </c>
      <c r="AX56" s="17">
        <f>' B2级比赛 '!AX56*5</f>
        <v>164.293401809821</v>
      </c>
      <c r="AY56" s="17">
        <f>' B2级比赛 '!AY56*5</f>
        <v>161.007533773625</v>
      </c>
      <c r="AZ56" s="16">
        <f>' B2级比赛 '!AZ56*5</f>
        <v>157.850523307475</v>
      </c>
      <c r="BA56" s="16">
        <f>' B2级比赛 '!BA56*5</f>
        <v>105.926009061595</v>
      </c>
      <c r="BB56" s="16">
        <f>' B2级比赛 '!BB56*5</f>
        <v>79.7066998879331</v>
      </c>
      <c r="BC56" s="16">
        <f>' B2级比赛 '!BC56*5</f>
        <v>53.3137529051738</v>
      </c>
      <c r="BD56" s="16">
        <f>' B2级比赛 '!BD56*5</f>
        <v>40.0516253168221</v>
      </c>
      <c r="BE56" s="16">
        <f>' B2级比赛 '!BE56*5</f>
        <v>26.7454375039244</v>
      </c>
      <c r="BF56" s="16">
        <f>' B2级比赛 '!BF56*5</f>
        <v>20.075752340851</v>
      </c>
      <c r="BG56" s="16">
        <f>' B2级比赛 '!BG56*5</f>
        <v>16.0686161450724</v>
      </c>
      <c r="BH56" s="16">
        <f>' B2级比赛 '!BH56*5</f>
        <v>10.7195428610935</v>
      </c>
      <c r="BI56" s="16">
        <f>' B2级比赛 '!BI56*5</f>
        <v>8.04233435432692</v>
      </c>
      <c r="BJ56" s="16">
        <f>' B2级比赛 '!BJ56*5</f>
        <v>4.78869842050612</v>
      </c>
      <c r="BK56" s="16">
        <f>' B2级比赛 '!BK56*5</f>
        <v>3.59212210353807</v>
      </c>
      <c r="BL56" s="25">
        <f>' B2级比赛 '!BL56*5</f>
        <v>68235.3002761978</v>
      </c>
      <c r="BM56" s="20" t="e">
        <f>' B2级比赛 '!#REF!*5</f>
        <v>#REF!</v>
      </c>
      <c r="BN56" s="23"/>
      <c r="BO56" s="23"/>
      <c r="BP56" s="23"/>
      <c r="BQ56" s="23"/>
      <c r="BR56" s="23"/>
      <c r="BS56" s="23"/>
      <c r="BT56" s="23"/>
      <c r="BU56" s="2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ht="21.6" spans="1:110">
      <c r="A57" s="11" t="s">
        <v>119</v>
      </c>
      <c r="B57" s="12">
        <f>' B2级比赛 '!B57*5</f>
        <v>3162.64798483906</v>
      </c>
      <c r="C57" s="12">
        <f>' B2级比赛 '!C57*5</f>
        <v>2878.00966620355</v>
      </c>
      <c r="D57" s="15">
        <f>' B2级比赛 '!D57*5</f>
        <v>2688.2507871132</v>
      </c>
      <c r="E57" s="15">
        <f>' B2级比赛 '!E57*5</f>
        <v>2435.23894832608</v>
      </c>
      <c r="F57" s="15">
        <f>' B2级比赛 '!F57*5</f>
        <v>2150.60062969056</v>
      </c>
      <c r="G57" s="15">
        <f>' B2级比赛 '!G57*5</f>
        <v>1897.58879090344</v>
      </c>
      <c r="H57" s="15">
        <f>' B2级比赛 '!H57*5</f>
        <v>1626.50467791723</v>
      </c>
      <c r="I57" s="15">
        <f>' B2级比赛 '!I57*5</f>
        <v>1423.19159317758</v>
      </c>
      <c r="J57" s="15">
        <f>' B2级比赛 '!J57*5</f>
        <v>1265.05919393562</v>
      </c>
      <c r="K57" s="15">
        <f>' B2级比赛 '!K57*5</f>
        <v>1138.55327454206</v>
      </c>
      <c r="L57" s="15">
        <f>' B2级比赛 '!L57*5</f>
        <v>1035.04843140187</v>
      </c>
      <c r="M57" s="15">
        <f>' B2级比赛 '!M57*5</f>
        <v>948.794395451718</v>
      </c>
      <c r="N57" s="15">
        <f>' B2级比赛 '!N57*5</f>
        <v>875.810211186202</v>
      </c>
      <c r="O57" s="15">
        <f>' B2级比赛 '!O57*5</f>
        <v>813.252338958616</v>
      </c>
      <c r="P57" s="12">
        <f>' B2级比赛 '!P57*5</f>
        <v>759.035516361375</v>
      </c>
      <c r="Q57" s="12">
        <f>' B2级比赛 '!Q57*5</f>
        <v>711.595796588789</v>
      </c>
      <c r="R57" s="12">
        <f>' B2级比赛 '!R57*5</f>
        <v>669.73722031886</v>
      </c>
      <c r="S57" s="12">
        <f>' B2级比赛 '!S57*5</f>
        <v>632.529596967812</v>
      </c>
      <c r="T57" s="12">
        <f>' B2级比赛 '!T57*5</f>
        <v>599.238565548454</v>
      </c>
      <c r="U57" s="12">
        <f>' B2级比赛 '!U57*5</f>
        <v>569.276637271031</v>
      </c>
      <c r="V57" s="12">
        <f>' B2级比赛 '!V57*5</f>
        <v>542.168225972411</v>
      </c>
      <c r="W57" s="12">
        <f>' B2级比赛 '!W57*5</f>
        <v>517.524215700937</v>
      </c>
      <c r="X57" s="12">
        <f>' B2级比赛 '!X57*5</f>
        <v>495.023162844375</v>
      </c>
      <c r="Y57" s="12">
        <f>' B2级比赛 '!Y57*5</f>
        <v>474.397197725859</v>
      </c>
      <c r="Z57" s="12">
        <f>' B2级比赛 '!Z57*5</f>
        <v>442.770717877469</v>
      </c>
      <c r="AA57" s="12">
        <f>' B2级比赛 '!AA57*5</f>
        <v>425.741074882181</v>
      </c>
      <c r="AB57" s="12">
        <f>' B2级比赛 '!AB57*5</f>
        <v>409.972886923582</v>
      </c>
      <c r="AC57" s="12">
        <f>' B2级比赛 '!AC57*5</f>
        <v>395.330998104883</v>
      </c>
      <c r="AD57" s="12">
        <f>' B2级比赛 '!AD57*5</f>
        <v>381.698894721956</v>
      </c>
      <c r="AE57" s="12">
        <f>' B2级比赛 '!AE57*5</f>
        <v>368.975598231224</v>
      </c>
      <c r="AF57" s="12">
        <f>' B2级比赛 '!AF57*5</f>
        <v>357.073159578604</v>
      </c>
      <c r="AG57" s="12">
        <f>' B2级比赛 '!AG57*5</f>
        <v>345.914623341772</v>
      </c>
      <c r="AH57" s="12">
        <f>' B2级比赛 '!AH57*5</f>
        <v>335.432362028385</v>
      </c>
      <c r="AI57" s="12">
        <f>' B2级比赛 '!AI57*5</f>
        <v>325.566704321668</v>
      </c>
      <c r="AJ57" s="12">
        <f>' B2级比赛 '!AJ57*5</f>
        <v>316.264798483906</v>
      </c>
      <c r="AK57" s="12">
        <f>' B2级比赛 '!AK57*5</f>
        <v>307.479665192687</v>
      </c>
      <c r="AL57" s="12">
        <f>' B2级比赛 '!AL57*5</f>
        <v>299.169403971263</v>
      </c>
      <c r="AM57" s="12">
        <f>' B2级比赛 '!AM57*5</f>
        <v>291.296524919387</v>
      </c>
      <c r="AN57" s="12">
        <f>' B2级比赛 '!AN57*5</f>
        <v>283.827383254788</v>
      </c>
      <c r="AO57" s="12">
        <f>' B2级比赛 '!AO57*5</f>
        <v>276.731698673418</v>
      </c>
      <c r="AP57" s="12">
        <f>' B2级比赛 '!AP57*5</f>
        <v>269.982145047237</v>
      </c>
      <c r="AQ57" s="12">
        <f>' B2级比赛 '!AQ57*5</f>
        <v>263.553998736588</v>
      </c>
      <c r="AR57" s="12">
        <f>' B2级比赛 '!AR57*5</f>
        <v>257.424835975272</v>
      </c>
      <c r="AS57" s="12">
        <f>' B2级比赛 '!AS57*5</f>
        <v>251.574271521289</v>
      </c>
      <c r="AT57" s="12">
        <f>' B2级比赛 '!AT57*5</f>
        <v>245.983732154149</v>
      </c>
      <c r="AU57" s="12">
        <f>' B2级比赛 '!AU57*5</f>
        <v>240.636259716016</v>
      </c>
      <c r="AV57" s="12">
        <f>' B2级比赛 '!AV57*5</f>
        <v>235.516339296526</v>
      </c>
      <c r="AW57" s="12">
        <f>' B2级比赛 '!AW57*5</f>
        <v>230.609748894515</v>
      </c>
      <c r="AX57" s="12">
        <f>' B2级比赛 '!AX57*5</f>
        <v>225.903427488504</v>
      </c>
      <c r="AY57" s="12">
        <f>' B2级比赛 '!AY57*5</f>
        <v>221.385358938734</v>
      </c>
      <c r="AZ57" s="18">
        <f>' B2级比赛 '!AZ57*5</f>
        <v>217.044469547779</v>
      </c>
      <c r="BA57" s="18">
        <f>' B2级比赛 '!BA57*5</f>
        <v>145.648262459694</v>
      </c>
      <c r="BB57" s="18">
        <f>' B2级比赛 '!BB57*5</f>
        <v>109.596712345908</v>
      </c>
      <c r="BC57" s="18">
        <f>' B2级比赛 '!BC57*5</f>
        <v>73.306410244614</v>
      </c>
      <c r="BD57" s="18">
        <f>' B2级比赛 '!BD57*5</f>
        <v>55.0709848106304</v>
      </c>
      <c r="BE57" s="18">
        <f>' B2级比赛 '!BE57*5</f>
        <v>36.7749765678961</v>
      </c>
      <c r="BF57" s="18">
        <f>' B2级比赛 '!BF57*5</f>
        <v>27.6041594686701</v>
      </c>
      <c r="BG57" s="18">
        <f>' B2级比赛 '!BG57*5</f>
        <v>22.0943471994745</v>
      </c>
      <c r="BH57" s="18">
        <f>' B2级比赛 '!BH57*5</f>
        <v>14.7393714340036</v>
      </c>
      <c r="BI57" s="18">
        <f>' B2级比赛 '!BI57*5</f>
        <v>11.0582097371995</v>
      </c>
      <c r="BJ57" s="18">
        <f>' B2级比赛 '!BJ57*5</f>
        <v>7.37459556757942</v>
      </c>
      <c r="BK57" s="18">
        <f>' B2级比赛 '!BK57*5</f>
        <v>5.53186803944863</v>
      </c>
      <c r="BL57" s="18">
        <f>' B2级比赛 '!BL57*5</f>
        <v>3.58314000281666</v>
      </c>
      <c r="BM57" s="21" t="e">
        <f>' B2级比赛 '!#REF!*5</f>
        <v>#REF!</v>
      </c>
      <c r="BN57" s="23"/>
      <c r="BO57" s="23"/>
      <c r="BP57" s="23"/>
      <c r="BQ57" s="23"/>
      <c r="BR57" s="23"/>
      <c r="BS57" s="23"/>
      <c r="BT57" s="23"/>
      <c r="BU57" s="2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="4" customFormat="1" ht="21.6" spans="1:110">
      <c r="A58" s="11" t="s">
        <v>120</v>
      </c>
      <c r="B58" s="12">
        <f>' B2级比赛 '!B58*5</f>
        <v>3162.64798483906</v>
      </c>
      <c r="C58" s="12">
        <f>' B2级比赛 '!C58*5</f>
        <v>2878.00966620355</v>
      </c>
      <c r="D58" s="15">
        <f>' B2级比赛 '!D58*5</f>
        <v>2688.2507871132</v>
      </c>
      <c r="E58" s="15">
        <f>' B2级比赛 '!E58*5</f>
        <v>2435.23894832608</v>
      </c>
      <c r="F58" s="15">
        <f>' B2级比赛 '!F58*5</f>
        <v>2150.60062969056</v>
      </c>
      <c r="G58" s="15">
        <f>' B2级比赛 '!G58*5</f>
        <v>1897.58879090344</v>
      </c>
      <c r="H58" s="15">
        <f>' B2级比赛 '!H58*5</f>
        <v>1626.50467791723</v>
      </c>
      <c r="I58" s="15">
        <f>' B2级比赛 '!I58*5</f>
        <v>1423.19159317758</v>
      </c>
      <c r="J58" s="15">
        <f>' B2级比赛 '!J58*5</f>
        <v>1265.05919393562</v>
      </c>
      <c r="K58" s="15">
        <f>' B2级比赛 '!K58*5</f>
        <v>1138.55327454206</v>
      </c>
      <c r="L58" s="15">
        <f>' B2级比赛 '!L58*5</f>
        <v>1035.04843140187</v>
      </c>
      <c r="M58" s="15">
        <f>' B2级比赛 '!M58*5</f>
        <v>948.794395451718</v>
      </c>
      <c r="N58" s="15">
        <f>' B2级比赛 '!N58*5</f>
        <v>875.810211186202</v>
      </c>
      <c r="O58" s="15">
        <f>' B2级比赛 '!O58*5</f>
        <v>813.252338958616</v>
      </c>
      <c r="P58" s="12">
        <f>' B2级比赛 '!P58*5</f>
        <v>759.035516361375</v>
      </c>
      <c r="Q58" s="12">
        <f>' B2级比赛 '!Q58*5</f>
        <v>711.595796588789</v>
      </c>
      <c r="R58" s="12">
        <f>' B2级比赛 '!R58*5</f>
        <v>669.73722031886</v>
      </c>
      <c r="S58" s="12">
        <f>' B2级比赛 '!S58*5</f>
        <v>632.529596967812</v>
      </c>
      <c r="T58" s="12">
        <f>' B2级比赛 '!T58*5</f>
        <v>599.238565548454</v>
      </c>
      <c r="U58" s="12">
        <f>' B2级比赛 '!U58*5</f>
        <v>569.276637271031</v>
      </c>
      <c r="V58" s="12">
        <f>' B2级比赛 '!V58*5</f>
        <v>542.168225972411</v>
      </c>
      <c r="W58" s="12">
        <f>' B2级比赛 '!W58*5</f>
        <v>517.524215700937</v>
      </c>
      <c r="X58" s="12">
        <f>' B2级比赛 '!X58*5</f>
        <v>495.023162844375</v>
      </c>
      <c r="Y58" s="12">
        <f>' B2级比赛 '!Y58*5</f>
        <v>474.397197725859</v>
      </c>
      <c r="Z58" s="12">
        <f>' B2级比赛 '!Z58*5</f>
        <v>442.770717877469</v>
      </c>
      <c r="AA58" s="12">
        <f>' B2级比赛 '!AA58*5</f>
        <v>425.741074882181</v>
      </c>
      <c r="AB58" s="12">
        <f>' B2级比赛 '!AB58*5</f>
        <v>409.972886923582</v>
      </c>
      <c r="AC58" s="12">
        <f>' B2级比赛 '!AC58*5</f>
        <v>395.330998104883</v>
      </c>
      <c r="AD58" s="12">
        <f>' B2级比赛 '!AD58*5</f>
        <v>381.698894721956</v>
      </c>
      <c r="AE58" s="12">
        <f>' B2级比赛 '!AE58*5</f>
        <v>368.975598231224</v>
      </c>
      <c r="AF58" s="12">
        <f>' B2级比赛 '!AF58*5</f>
        <v>357.073159578604</v>
      </c>
      <c r="AG58" s="12">
        <f>' B2级比赛 '!AG58*5</f>
        <v>345.914623341772</v>
      </c>
      <c r="AH58" s="12">
        <f>' B2级比赛 '!AH58*5</f>
        <v>335.432362028385</v>
      </c>
      <c r="AI58" s="12">
        <f>' B2级比赛 '!AI58*5</f>
        <v>325.566704321668</v>
      </c>
      <c r="AJ58" s="12">
        <f>' B2级比赛 '!AJ58*5</f>
        <v>316.264798483906</v>
      </c>
      <c r="AK58" s="12">
        <f>' B2级比赛 '!AK58*5</f>
        <v>307.479665192687</v>
      </c>
      <c r="AL58" s="12">
        <f>' B2级比赛 '!AL58*5</f>
        <v>299.169403971263</v>
      </c>
      <c r="AM58" s="12">
        <f>' B2级比赛 '!AM58*5</f>
        <v>291.296524919387</v>
      </c>
      <c r="AN58" s="12">
        <f>' B2级比赛 '!AN58*5</f>
        <v>283.827383254788</v>
      </c>
      <c r="AO58" s="12">
        <f>' B2级比赛 '!AO58*5</f>
        <v>276.731698673418</v>
      </c>
      <c r="AP58" s="12">
        <f>' B2级比赛 '!AP58*5</f>
        <v>269.982145047237</v>
      </c>
      <c r="AQ58" s="12">
        <f>' B2级比赛 '!AQ58*5</f>
        <v>263.553998736588</v>
      </c>
      <c r="AR58" s="12">
        <f>' B2级比赛 '!AR58*5</f>
        <v>257.424835975272</v>
      </c>
      <c r="AS58" s="12">
        <f>' B2级比赛 '!AS58*5</f>
        <v>251.574271521289</v>
      </c>
      <c r="AT58" s="12">
        <f>' B2级比赛 '!AT58*5</f>
        <v>245.983732154149</v>
      </c>
      <c r="AU58" s="12">
        <f>' B2级比赛 '!AU58*5</f>
        <v>240.636259716016</v>
      </c>
      <c r="AV58" s="12">
        <f>' B2级比赛 '!AV58*5</f>
        <v>235.516339296526</v>
      </c>
      <c r="AW58" s="12">
        <f>' B2级比赛 '!AW58*5</f>
        <v>230.609748894515</v>
      </c>
      <c r="AX58" s="12">
        <f>' B2级比赛 '!AX58*5</f>
        <v>225.903427488504</v>
      </c>
      <c r="AY58" s="12">
        <f>' B2级比赛 '!AY58*5</f>
        <v>221.385358938734</v>
      </c>
      <c r="AZ58" s="18">
        <f>' B2级比赛 '!AZ58*5</f>
        <v>217.044469547779</v>
      </c>
      <c r="BA58" s="18">
        <f>' B2级比赛 '!BA58*5</f>
        <v>145.648262459694</v>
      </c>
      <c r="BB58" s="18">
        <f>' B2级比赛 '!BB58*5</f>
        <v>109.596712345908</v>
      </c>
      <c r="BC58" s="18">
        <f>' B2级比赛 '!BC58*5</f>
        <v>73.306410244614</v>
      </c>
      <c r="BD58" s="18">
        <f>' B2级比赛 '!BD58*5</f>
        <v>55.0709848106304</v>
      </c>
      <c r="BE58" s="18">
        <f>' B2级比赛 '!BE58*5</f>
        <v>36.7749765678961</v>
      </c>
      <c r="BF58" s="18">
        <f>' B2级比赛 '!BF58*5</f>
        <v>27.6041594686701</v>
      </c>
      <c r="BG58" s="18">
        <f>' B2级比赛 '!BG58*5</f>
        <v>22.0943471994745</v>
      </c>
      <c r="BH58" s="18">
        <f>' B2级比赛 '!BH58*5</f>
        <v>14.7393714340036</v>
      </c>
      <c r="BI58" s="18">
        <f>' B2级比赛 '!BI58*5</f>
        <v>11.0582097371995</v>
      </c>
      <c r="BJ58" s="18">
        <f>' B2级比赛 '!BJ58*5</f>
        <v>7.37459556757942</v>
      </c>
      <c r="BK58" s="18">
        <f>' B2级比赛 '!BK58*5</f>
        <v>5.53186803944863</v>
      </c>
      <c r="BL58" s="18">
        <f>' B2级比赛 '!BL58*5</f>
        <v>3.58314000281666</v>
      </c>
      <c r="BM58" s="18" t="e">
        <f>' B2级比赛 '!#REF!*5</f>
        <v>#REF!</v>
      </c>
      <c r="BN58" s="23"/>
      <c r="BO58" s="23"/>
      <c r="BP58" s="23"/>
      <c r="BQ58" s="23"/>
      <c r="BR58" s="23"/>
      <c r="BS58" s="23"/>
      <c r="BT58" s="23"/>
      <c r="BU58" s="23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</row>
    <row r="59" s="4" customFormat="1" spans="1:110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23"/>
      <c r="BO59" s="23"/>
      <c r="BP59" s="23"/>
      <c r="BQ59" s="23"/>
      <c r="BR59" s="23"/>
      <c r="BS59" s="23"/>
      <c r="BT59" s="23"/>
      <c r="BU59" s="23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</row>
    <row r="60" s="4" customFormat="1" spans="1:7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</row>
    <row r="61" s="4" customFormat="1" spans="1:7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</row>
    <row r="62" s="4" customFormat="1" spans="1:7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</row>
    <row r="63" s="4" customFormat="1" spans="1:7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</row>
    <row r="64" s="4" customFormat="1" spans="1:7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</row>
    <row r="65" s="4" customFormat="1" spans="1:7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</row>
    <row r="66" s="4" customFormat="1" spans="1:7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</row>
    <row r="67" s="4" customFormat="1" spans="1:7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</row>
    <row r="68" s="4" customFormat="1" spans="1:7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</row>
    <row r="69" s="4" customFormat="1" spans="1:7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</row>
    <row r="70" s="4" customFormat="1" spans="1:7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</row>
    <row r="71" s="4" customFormat="1" spans="1:7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</row>
    <row r="72" s="4" customFormat="1" spans="1:7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</row>
    <row r="73" s="4" customFormat="1" spans="1:7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</row>
    <row r="74" s="4" customFormat="1" spans="1:7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</row>
    <row r="75" s="4" customFormat="1" spans="1:7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</row>
    <row r="76" s="4" customFormat="1" spans="1:7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</row>
    <row r="77" s="4" customFormat="1" spans="1:7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</row>
  </sheetData>
  <mergeCells count="1">
    <mergeCell ref="A1:H1"/>
  </mergeCells>
  <conditionalFormatting sqref="1:1048576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F77"/>
  <sheetViews>
    <sheetView topLeftCell="A33" workbookViewId="0">
      <selection activeCell="A59" sqref="$A59:$XFD59"/>
    </sheetView>
  </sheetViews>
  <sheetFormatPr defaultColWidth="9" defaultRowHeight="10.8"/>
  <cols>
    <col min="1" max="7" width="9" style="5"/>
    <col min="8" max="8" width="9.75" style="5" customWidth="1"/>
    <col min="9" max="37" width="9" style="5"/>
    <col min="38" max="58" width="9" style="6"/>
    <col min="59" max="59" width="9" style="5"/>
    <col min="60" max="60" width="11.3796296296296" style="5" customWidth="1"/>
    <col min="61" max="61" width="12.1296296296296" style="5" customWidth="1"/>
    <col min="62" max="62" width="12.75" style="5" customWidth="1"/>
    <col min="63" max="63" width="11.8796296296296" style="5" customWidth="1"/>
    <col min="64" max="64" width="12" style="5" customWidth="1"/>
    <col min="65" max="65" width="13" style="5" customWidth="1"/>
    <col min="66" max="16384" width="9" style="5"/>
  </cols>
  <sheetData>
    <row r="1" spans="1:8">
      <c r="A1" s="7" t="s">
        <v>122</v>
      </c>
      <c r="B1" s="7"/>
      <c r="C1" s="7"/>
      <c r="D1" s="7"/>
      <c r="E1" s="7"/>
      <c r="F1" s="7"/>
      <c r="G1" s="7"/>
      <c r="H1" s="7"/>
    </row>
    <row r="2" spans="1:1">
      <c r="A2" s="8"/>
    </row>
    <row r="3" s="1" customFormat="1" ht="21.6" spans="1:73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  <c r="AF3" s="9" t="s">
        <v>32</v>
      </c>
      <c r="AG3" s="9" t="s">
        <v>33</v>
      </c>
      <c r="AH3" s="9" t="s">
        <v>34</v>
      </c>
      <c r="AI3" s="9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9" t="s">
        <v>53</v>
      </c>
      <c r="BB3" s="9" t="s">
        <v>54</v>
      </c>
      <c r="BC3" s="9" t="s">
        <v>55</v>
      </c>
      <c r="BD3" s="9" t="s">
        <v>56</v>
      </c>
      <c r="BE3" s="9" t="s">
        <v>57</v>
      </c>
      <c r="BF3" s="9" t="s">
        <v>58</v>
      </c>
      <c r="BG3" s="9" t="s">
        <v>59</v>
      </c>
      <c r="BH3" s="9" t="s">
        <v>60</v>
      </c>
      <c r="BI3" s="9" t="s">
        <v>61</v>
      </c>
      <c r="BJ3" s="9" t="s">
        <v>62</v>
      </c>
      <c r="BK3" s="9" t="s">
        <v>63</v>
      </c>
      <c r="BL3" s="9" t="s">
        <v>64</v>
      </c>
      <c r="BM3" s="9" t="s">
        <v>65</v>
      </c>
      <c r="BN3" s="22"/>
      <c r="BO3" s="22"/>
      <c r="BP3" s="22"/>
      <c r="BQ3" s="22"/>
      <c r="BR3" s="22"/>
      <c r="BS3" s="22"/>
      <c r="BT3" s="22"/>
      <c r="BU3" s="22"/>
    </row>
    <row r="4" spans="1:73">
      <c r="A4" s="11" t="s">
        <v>66</v>
      </c>
      <c r="B4" s="12">
        <f>' B2级比赛 '!B4*5</f>
        <v>10</v>
      </c>
      <c r="C4" s="13">
        <v>10</v>
      </c>
      <c r="D4" s="14">
        <v>2.5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9"/>
      <c r="BO4" s="19"/>
      <c r="BP4" s="19"/>
      <c r="BQ4" s="19"/>
      <c r="BR4" s="19"/>
      <c r="BS4" s="19"/>
      <c r="BT4" s="19"/>
      <c r="BU4" s="19"/>
    </row>
    <row r="5" spans="1:73">
      <c r="A5" s="11" t="s">
        <v>67</v>
      </c>
      <c r="B5" s="12">
        <f>' B2级比赛 '!B5*5</f>
        <v>20</v>
      </c>
      <c r="C5" s="12">
        <f>' B2级比赛 '!C5*5</f>
        <v>14</v>
      </c>
      <c r="D5" s="13">
        <f>' B2级比赛 '!D5*5</f>
        <v>34</v>
      </c>
      <c r="E5" s="14">
        <f>' B2级比赛 '!E5*5</f>
        <v>4.25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9"/>
      <c r="BO5" s="19"/>
      <c r="BP5" s="19"/>
      <c r="BQ5" s="19"/>
      <c r="BR5" s="19"/>
      <c r="BS5" s="19"/>
      <c r="BT5" s="19"/>
      <c r="BU5" s="19"/>
    </row>
    <row r="6" spans="1:73">
      <c r="A6" s="11" t="s">
        <v>68</v>
      </c>
      <c r="B6" s="12">
        <f>' B2级比赛 '!B6*5</f>
        <v>30</v>
      </c>
      <c r="C6" s="12">
        <f>' B2级比赛 '!C6*5</f>
        <v>21</v>
      </c>
      <c r="D6" s="15">
        <f>' B2级比赛 '!D6*5</f>
        <v>15</v>
      </c>
      <c r="E6" s="13">
        <f>' B2级比赛 '!E6*5</f>
        <v>66</v>
      </c>
      <c r="F6" s="14">
        <f>' B2级比赛 '!F6*5</f>
        <v>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9"/>
      <c r="BO6" s="19"/>
      <c r="BP6" s="19"/>
      <c r="BQ6" s="19"/>
      <c r="BR6" s="19"/>
      <c r="BS6" s="19"/>
      <c r="BT6" s="19"/>
      <c r="BU6" s="19"/>
    </row>
    <row r="7" spans="1:73">
      <c r="A7" s="11" t="s">
        <v>69</v>
      </c>
      <c r="B7" s="12">
        <f>' B2级比赛 '!B7*5</f>
        <v>34</v>
      </c>
      <c r="C7" s="12">
        <f>' B2级比赛 '!C7*5</f>
        <v>23.8</v>
      </c>
      <c r="D7" s="15">
        <f>' B2级比赛 '!D7*5</f>
        <v>17</v>
      </c>
      <c r="E7" s="15">
        <f>' B2级比赛 '!E7*5</f>
        <v>11.9</v>
      </c>
      <c r="F7" s="13">
        <f>' B2级比赛 '!F7*5</f>
        <v>86.7</v>
      </c>
      <c r="G7" s="14">
        <f>' B2级比赛 '!G7*5</f>
        <v>6.19285714285714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9"/>
      <c r="BO7" s="19"/>
      <c r="BP7" s="19"/>
      <c r="BQ7" s="19"/>
      <c r="BR7" s="19"/>
      <c r="BS7" s="19"/>
      <c r="BT7" s="19"/>
      <c r="BU7" s="19"/>
    </row>
    <row r="8" spans="1:73">
      <c r="A8" s="11" t="s">
        <v>70</v>
      </c>
      <c r="B8" s="12">
        <f>' B2级比赛 '!B8*5</f>
        <v>41</v>
      </c>
      <c r="C8" s="12">
        <f>' B2级比赛 '!C8*5</f>
        <v>28.7</v>
      </c>
      <c r="D8" s="15">
        <f>' B2级比赛 '!D8*5</f>
        <v>20.5</v>
      </c>
      <c r="E8" s="15">
        <f>' B2级比赛 '!E8*5</f>
        <v>14.35</v>
      </c>
      <c r="F8" s="15">
        <f>' B2级比赛 '!F8*5</f>
        <v>8.2</v>
      </c>
      <c r="G8" s="13">
        <f>' B2级比赛 '!G8*5</f>
        <v>112.75</v>
      </c>
      <c r="H8" s="14">
        <f>' B2级比赛 '!H8*5</f>
        <v>6.26388888888889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9"/>
      <c r="BO8" s="19"/>
      <c r="BP8" s="19"/>
      <c r="BQ8" s="19"/>
      <c r="BR8" s="19"/>
      <c r="BS8" s="19"/>
      <c r="BT8" s="19"/>
      <c r="BU8" s="19"/>
    </row>
    <row r="9" spans="1:73">
      <c r="A9" s="11" t="s">
        <v>71</v>
      </c>
      <c r="B9" s="12">
        <f>' B2级比赛 '!B9*5</f>
        <v>46</v>
      </c>
      <c r="C9" s="12">
        <f>' B2级比赛 '!C9*5</f>
        <v>32.2</v>
      </c>
      <c r="D9" s="15">
        <f>' B2级比赛 '!D9*5</f>
        <v>23</v>
      </c>
      <c r="E9" s="15">
        <f>' B2级比赛 '!E9*5</f>
        <v>16.1</v>
      </c>
      <c r="F9" s="15">
        <f>' B2级比赛 '!F9*5</f>
        <v>9.2</v>
      </c>
      <c r="G9" s="15">
        <f>' B2级比赛 '!G9*5</f>
        <v>7.66666666666667</v>
      </c>
      <c r="H9" s="13">
        <f>' B2级比赛 '!H9*5</f>
        <v>134.166666666667</v>
      </c>
      <c r="I9" s="14">
        <f>' B2级比赛 '!I9*5</f>
        <v>6.38888888888889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9"/>
      <c r="BO9" s="19"/>
      <c r="BP9" s="19"/>
      <c r="BQ9" s="19"/>
      <c r="BR9" s="19"/>
      <c r="BS9" s="19"/>
      <c r="BT9" s="19"/>
      <c r="BU9" s="19"/>
    </row>
    <row r="10" spans="1:73">
      <c r="A10" s="11" t="s">
        <v>72</v>
      </c>
      <c r="B10" s="12">
        <f>' B2级比赛 '!B10*5</f>
        <v>50</v>
      </c>
      <c r="C10" s="12">
        <f>' B2级比赛 '!C10*5</f>
        <v>35</v>
      </c>
      <c r="D10" s="15">
        <f>' B2级比赛 '!D10*5</f>
        <v>25</v>
      </c>
      <c r="E10" s="15">
        <f>' B2级比赛 '!E10*5</f>
        <v>17.5</v>
      </c>
      <c r="F10" s="15">
        <f>' B2级比赛 '!F10*5</f>
        <v>10</v>
      </c>
      <c r="G10" s="15">
        <f>' B2级比赛 '!G10*5</f>
        <v>8.33333333333333</v>
      </c>
      <c r="H10" s="15">
        <f>' B2级比赛 '!H10*5</f>
        <v>7.14285714285714</v>
      </c>
      <c r="I10" s="13">
        <f>' B2级比赛 '!I10*5</f>
        <v>152.97619047619</v>
      </c>
      <c r="J10" s="14">
        <f>' B2级比赛 '!J10*5</f>
        <v>6.37400793650794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9"/>
      <c r="BO10" s="19"/>
      <c r="BP10" s="19"/>
      <c r="BQ10" s="19"/>
      <c r="BR10" s="19"/>
      <c r="BS10" s="19"/>
      <c r="BT10" s="19"/>
      <c r="BU10" s="19"/>
    </row>
    <row r="11" spans="1:73">
      <c r="A11" s="11" t="s">
        <v>73</v>
      </c>
      <c r="B11" s="12">
        <f>' B2级比赛 '!B11*5</f>
        <v>56</v>
      </c>
      <c r="C11" s="12">
        <f>' B2级比赛 '!C11*5</f>
        <v>39.2</v>
      </c>
      <c r="D11" s="15">
        <f>' B2级比赛 '!D11*5</f>
        <v>28</v>
      </c>
      <c r="E11" s="15">
        <f>' B2级比赛 '!E11*5</f>
        <v>19.6</v>
      </c>
      <c r="F11" s="15">
        <f>' B2级比赛 '!F11*5</f>
        <v>11.2</v>
      </c>
      <c r="G11" s="15">
        <f>' B2级比赛 '!G11*5</f>
        <v>9.33333333333333</v>
      </c>
      <c r="H11" s="15">
        <f>' B2级比赛 '!H11*5</f>
        <v>8</v>
      </c>
      <c r="I11" s="15">
        <f>' B2级比赛 '!I11*5</f>
        <v>7</v>
      </c>
      <c r="J11" s="13">
        <f>' B2级比赛 '!J11*5</f>
        <v>178.333333333333</v>
      </c>
      <c r="K11" s="14">
        <f>' B2级比赛 '!K11*5</f>
        <v>6.36904761904762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9"/>
      <c r="BO11" s="19"/>
      <c r="BP11" s="19"/>
      <c r="BQ11" s="19"/>
      <c r="BR11" s="19"/>
      <c r="BS11" s="19"/>
      <c r="BT11" s="19"/>
      <c r="BU11" s="19"/>
    </row>
    <row r="12" spans="1:73">
      <c r="A12" s="11" t="s">
        <v>74</v>
      </c>
      <c r="B12" s="12">
        <f>' B2级比赛 '!B12*5</f>
        <v>60</v>
      </c>
      <c r="C12" s="12">
        <f>' B2级比赛 '!C12*5</f>
        <v>42</v>
      </c>
      <c r="D12" s="15">
        <f>' B2级比赛 '!D12*5</f>
        <v>30</v>
      </c>
      <c r="E12" s="15">
        <f>' B2级比赛 '!E12*5</f>
        <v>21</v>
      </c>
      <c r="F12" s="15">
        <f>' B2级比赛 '!F12*5</f>
        <v>12</v>
      </c>
      <c r="G12" s="15">
        <f>' B2级比赛 '!G12*5</f>
        <v>10</v>
      </c>
      <c r="H12" s="15">
        <f>' B2级比赛 '!H12*5</f>
        <v>8.57142857142857</v>
      </c>
      <c r="I12" s="15">
        <f>' B2级比赛 '!I12*5</f>
        <v>7.5</v>
      </c>
      <c r="J12" s="15">
        <f>' B2级比赛 '!J12*5</f>
        <v>6.66666666666667</v>
      </c>
      <c r="K12" s="13">
        <f>' B2级比赛 '!K12*5</f>
        <v>197.738095238095</v>
      </c>
      <c r="L12" s="14">
        <f>' B2级比赛 '!L12*5</f>
        <v>6.37864823348694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9"/>
      <c r="BO12" s="19"/>
      <c r="BP12" s="19"/>
      <c r="BQ12" s="19"/>
      <c r="BR12" s="19"/>
      <c r="BS12" s="19"/>
      <c r="BT12" s="19"/>
      <c r="BU12" s="19"/>
    </row>
    <row r="13" spans="1:73">
      <c r="A13" s="11" t="s">
        <v>75</v>
      </c>
      <c r="B13" s="12">
        <f>' B2级比赛 '!B13*5</f>
        <v>64</v>
      </c>
      <c r="C13" s="12">
        <f>' B2级比赛 '!C13*5</f>
        <v>44.8</v>
      </c>
      <c r="D13" s="15">
        <f>' B2级比赛 '!D13*5</f>
        <v>32</v>
      </c>
      <c r="E13" s="15">
        <f>' B2级比赛 '!E13*5</f>
        <v>22.4</v>
      </c>
      <c r="F13" s="15">
        <f>' B2级比赛 '!F13*5</f>
        <v>12.8</v>
      </c>
      <c r="G13" s="15">
        <f>' B2级比赛 '!G13*5</f>
        <v>10.6666666666667</v>
      </c>
      <c r="H13" s="15">
        <f>' B2级比赛 '!H13*5</f>
        <v>9.14285714285714</v>
      </c>
      <c r="I13" s="15">
        <f>' B2级比赛 '!I13*5</f>
        <v>8</v>
      </c>
      <c r="J13" s="15">
        <f>' B2级比赛 '!J13*5</f>
        <v>7.11111111111111</v>
      </c>
      <c r="K13" s="15">
        <f>' B2级比赛 '!K13*5</f>
        <v>6.4</v>
      </c>
      <c r="L13" s="13">
        <f>' B2级比赛 '!L13*5</f>
        <v>217.320634920635</v>
      </c>
      <c r="M13" s="14">
        <f>' B2级比赛 '!M13*5</f>
        <v>6.39178338001867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9"/>
      <c r="BO13" s="19"/>
      <c r="BP13" s="19"/>
      <c r="BQ13" s="19"/>
      <c r="BR13" s="19"/>
      <c r="BS13" s="19"/>
      <c r="BT13" s="19"/>
      <c r="BU13" s="19"/>
    </row>
    <row r="14" spans="1:73">
      <c r="A14" s="11" t="s">
        <v>76</v>
      </c>
      <c r="B14" s="12">
        <f>' B2级比赛 '!B14*5</f>
        <v>70</v>
      </c>
      <c r="C14" s="12">
        <f>' B2级比赛 '!C14*5</f>
        <v>49</v>
      </c>
      <c r="D14" s="15">
        <f>' B2级比赛 '!D14*5</f>
        <v>35</v>
      </c>
      <c r="E14" s="15">
        <f>' B2级比赛 '!E14*5</f>
        <v>24.5</v>
      </c>
      <c r="F14" s="15">
        <f>' B2级比赛 '!F14*5</f>
        <v>14</v>
      </c>
      <c r="G14" s="15">
        <f>' B2级比赛 '!G14*5</f>
        <v>11.6666666666667</v>
      </c>
      <c r="H14" s="15">
        <f>' B2级比赛 '!H14*5</f>
        <v>10</v>
      </c>
      <c r="I14" s="15">
        <f>' B2级比赛 '!I14*5</f>
        <v>8.75</v>
      </c>
      <c r="J14" s="15">
        <f>' B2级比赛 '!J14*5</f>
        <v>7.77777777777778</v>
      </c>
      <c r="K14" s="15">
        <f>' B2级比赛 '!K14*5</f>
        <v>7</v>
      </c>
      <c r="L14" s="15">
        <f>' B2级比赛 '!L14*5</f>
        <v>6.36363636363636</v>
      </c>
      <c r="M14" s="13">
        <f>' B2级比赛 '!M14*5</f>
        <v>244.058080808081</v>
      </c>
      <c r="N14" s="14">
        <f>' B2级比赛 '!N14*5</f>
        <v>6.42258107389686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9"/>
      <c r="BO14" s="19"/>
      <c r="BP14" s="19"/>
      <c r="BQ14" s="19"/>
      <c r="BR14" s="19"/>
      <c r="BS14" s="19"/>
      <c r="BT14" s="19"/>
      <c r="BU14" s="19"/>
    </row>
    <row r="15" spans="1:74">
      <c r="A15" s="11" t="s">
        <v>77</v>
      </c>
      <c r="B15" s="12">
        <f>' B2级比赛 '!B15*5</f>
        <v>75</v>
      </c>
      <c r="C15" s="12">
        <f>' B2级比赛 '!C15*5</f>
        <v>52.5</v>
      </c>
      <c r="D15" s="15">
        <f>' B2级比赛 '!D15*5</f>
        <v>37.5</v>
      </c>
      <c r="E15" s="15">
        <f>' B2级比赛 '!E15*5</f>
        <v>26.25</v>
      </c>
      <c r="F15" s="15">
        <f>' B2级比赛 '!F15*5</f>
        <v>15</v>
      </c>
      <c r="G15" s="15">
        <f>' B2级比赛 '!G15*5</f>
        <v>12.5</v>
      </c>
      <c r="H15" s="15">
        <f>' B2级比赛 '!H15*5</f>
        <v>10.7142857142857</v>
      </c>
      <c r="I15" s="15">
        <f>' B2级比赛 '!I15*5</f>
        <v>9.375</v>
      </c>
      <c r="J15" s="15">
        <f>' B2级比赛 '!J15*5</f>
        <v>8.33333333333333</v>
      </c>
      <c r="K15" s="15">
        <f>' B2级比赛 '!K15*5</f>
        <v>7.5</v>
      </c>
      <c r="L15" s="15">
        <f>' B2级比赛 '!L15*5</f>
        <v>6.81818181818182</v>
      </c>
      <c r="M15" s="15">
        <f>' B2级比赛 '!M15*5</f>
        <v>6.25</v>
      </c>
      <c r="N15" s="13">
        <f>' B2级比赛 '!N15*5</f>
        <v>267.740800865801</v>
      </c>
      <c r="O15" s="14">
        <f>' B2级比赛 '!O15*5</f>
        <v>6.53026343575124</v>
      </c>
      <c r="P15" s="15"/>
      <c r="Q15" s="15"/>
      <c r="R15" s="15"/>
      <c r="S15" s="15"/>
      <c r="T15" s="15">
        <f>' B2级比赛 '!T15*5</f>
        <v>0</v>
      </c>
      <c r="U15" s="15"/>
      <c r="V15" s="15">
        <f>' B2级比赛 '!V15*5</f>
        <v>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9"/>
      <c r="BO15" s="19"/>
      <c r="BP15" s="19"/>
      <c r="BQ15" s="19"/>
      <c r="BR15" s="19"/>
      <c r="BS15" s="19"/>
      <c r="BT15" s="19"/>
      <c r="BU15" s="19"/>
      <c r="BV15" s="24"/>
    </row>
    <row r="16" spans="1:73">
      <c r="A16" s="11" t="s">
        <v>78</v>
      </c>
      <c r="B16" s="12">
        <f>' B2级比赛 '!B16*5</f>
        <v>80</v>
      </c>
      <c r="C16" s="12">
        <f>' B2级比赛 '!C16*5</f>
        <v>56</v>
      </c>
      <c r="D16" s="15">
        <f>' B2级比赛 '!D16*5</f>
        <v>40</v>
      </c>
      <c r="E16" s="15">
        <f>' B2级比赛 '!E16*5</f>
        <v>28</v>
      </c>
      <c r="F16" s="15">
        <f>' B2级比赛 '!F16*5</f>
        <v>16</v>
      </c>
      <c r="G16" s="15">
        <f>' B2级比赛 '!G16*5</f>
        <v>13.3333333333333</v>
      </c>
      <c r="H16" s="15">
        <f>' B2级比赛 '!H16*5</f>
        <v>11.4285714285714</v>
      </c>
      <c r="I16" s="15">
        <f>' B2级比赛 '!I16*5</f>
        <v>10</v>
      </c>
      <c r="J16" s="15">
        <f>' B2级比赛 '!J16*5</f>
        <v>8.88888888888889</v>
      </c>
      <c r="K16" s="15">
        <f>' B2级比赛 '!K16*5</f>
        <v>8</v>
      </c>
      <c r="L16" s="15">
        <f>' B2级比赛 '!L16*5</f>
        <v>7.27272727272727</v>
      </c>
      <c r="M16" s="15">
        <f>' B2级比赛 '!M16*5</f>
        <v>6.66666666666667</v>
      </c>
      <c r="N16" s="15">
        <f>' B2级比赛 '!N16*5</f>
        <v>6.15384615384615</v>
      </c>
      <c r="O16" s="13">
        <f>' B2级比赛 '!O16*5</f>
        <v>291.744033744034</v>
      </c>
      <c r="P16" s="14">
        <f>' B2级比赛 '!P16*5</f>
        <v>6.63054622145531</v>
      </c>
      <c r="Q16" s="15"/>
      <c r="R16" s="15"/>
      <c r="S16" s="15"/>
      <c r="T16" s="15">
        <f>' B2级比赛 '!T16*5</f>
        <v>0</v>
      </c>
      <c r="U16" s="15"/>
      <c r="V16" s="15">
        <f>' B2级比赛 '!V16*5</f>
        <v>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9"/>
      <c r="BO16" s="19"/>
      <c r="BP16" s="19"/>
      <c r="BQ16" s="19"/>
      <c r="BR16" s="19"/>
      <c r="BS16" s="19"/>
      <c r="BT16" s="19"/>
      <c r="BU16" s="19"/>
    </row>
    <row r="17" spans="1:73">
      <c r="A17" s="11" t="s">
        <v>79</v>
      </c>
      <c r="B17" s="12">
        <f>' B2级比赛 '!B17*5</f>
        <v>85</v>
      </c>
      <c r="C17" s="12">
        <f>' B2级比赛 '!C17*5</f>
        <v>59.5</v>
      </c>
      <c r="D17" s="15">
        <f>' B2级比赛 '!D17*5</f>
        <v>42.5</v>
      </c>
      <c r="E17" s="15">
        <f>' B2级比赛 '!E17*5</f>
        <v>29.75</v>
      </c>
      <c r="F17" s="15">
        <f>' B2级比赛 '!F17*5</f>
        <v>17</v>
      </c>
      <c r="G17" s="15">
        <f>' B2级比赛 '!G17*5</f>
        <v>14.1666666666667</v>
      </c>
      <c r="H17" s="15">
        <f>' B2级比赛 '!H17*5</f>
        <v>12.1428571428571</v>
      </c>
      <c r="I17" s="15">
        <f>' B2级比赛 '!I17*5</f>
        <v>10.625</v>
      </c>
      <c r="J17" s="15">
        <f>' B2级比赛 '!J17*5</f>
        <v>9.44444444444444</v>
      </c>
      <c r="K17" s="15">
        <f>' B2级比赛 '!K17*5</f>
        <v>8.5</v>
      </c>
      <c r="L17" s="15">
        <f>' B2级比赛 '!L17*5</f>
        <v>7.72727272727273</v>
      </c>
      <c r="M17" s="15">
        <f>' B2级比赛 '!M17*5</f>
        <v>7.08333333333333</v>
      </c>
      <c r="N17" s="15">
        <f>' B2级比赛 '!N17*5</f>
        <v>6.53846153846154</v>
      </c>
      <c r="O17" s="15">
        <f>' B2级比赛 '!O17*5</f>
        <v>6.07142857142857</v>
      </c>
      <c r="P17" s="13">
        <f>' B2级比赛 '!P17*5</f>
        <v>316.049464424464</v>
      </c>
      <c r="Q17" s="14">
        <f>' B2级比赛 '!Q17*5</f>
        <v>6.58436384217634</v>
      </c>
      <c r="R17" s="15"/>
      <c r="S17" s="15"/>
      <c r="T17" s="15">
        <f>' B2级比赛 '!T17*5</f>
        <v>0</v>
      </c>
      <c r="U17" s="15"/>
      <c r="V17" s="15">
        <f>' B2级比赛 '!V17*5</f>
        <v>0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9"/>
      <c r="BO17" s="19"/>
      <c r="BP17" s="19"/>
      <c r="BQ17" s="19"/>
      <c r="BR17" s="19"/>
      <c r="BS17" s="19"/>
      <c r="BT17" s="19"/>
      <c r="BU17" s="19"/>
    </row>
    <row r="18" spans="1:73">
      <c r="A18" s="11" t="s">
        <v>80</v>
      </c>
      <c r="B18" s="12">
        <f>' B2级比赛 '!B18*5</f>
        <v>89</v>
      </c>
      <c r="C18" s="12">
        <f>' B2级比赛 '!C18*5</f>
        <v>62.3</v>
      </c>
      <c r="D18" s="15">
        <f>' B2级比赛 '!D18*5</f>
        <v>44.5</v>
      </c>
      <c r="E18" s="15">
        <f>' B2级比赛 '!E18*5</f>
        <v>31.15</v>
      </c>
      <c r="F18" s="15">
        <f>' B2级比赛 '!F18*5</f>
        <v>17.8</v>
      </c>
      <c r="G18" s="15">
        <f>' B2级比赛 '!G18*5</f>
        <v>14.8333333333333</v>
      </c>
      <c r="H18" s="15">
        <f>' B2级比赛 '!H18*5</f>
        <v>12.7142857142857</v>
      </c>
      <c r="I18" s="15">
        <f>' B2级比赛 '!I18*5</f>
        <v>11.125</v>
      </c>
      <c r="J18" s="15">
        <f>' B2级比赛 '!J18*5</f>
        <v>9.88888888888889</v>
      </c>
      <c r="K18" s="15">
        <f>' B2级比赛 '!K18*5</f>
        <v>8.9</v>
      </c>
      <c r="L18" s="15">
        <f>' B2级比赛 '!L18*5</f>
        <v>8.09090909090909</v>
      </c>
      <c r="M18" s="15">
        <f>' B2级比赛 '!M18*5</f>
        <v>7.41666666666667</v>
      </c>
      <c r="N18" s="15">
        <f>' B2级比赛 '!N18*5</f>
        <v>6.84615384615385</v>
      </c>
      <c r="O18" s="15">
        <f>' B2级比赛 '!O18*5</f>
        <v>6.35714285714286</v>
      </c>
      <c r="P18" s="12">
        <f>' B2级比赛 '!P18*5</f>
        <v>5.93333333333333</v>
      </c>
      <c r="Q18" s="13">
        <f>' B2级比赛 '!Q18*5</f>
        <v>336.855713730714</v>
      </c>
      <c r="R18" s="14">
        <f>' B2级比赛 '!R18*5</f>
        <v>6.60501399471988</v>
      </c>
      <c r="S18" s="12"/>
      <c r="T18" s="12">
        <f>' B2级比赛 '!T18*5</f>
        <v>0</v>
      </c>
      <c r="U18" s="12"/>
      <c r="V18" s="12">
        <f>' B2级比赛 '!V18*5</f>
        <v>0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9"/>
      <c r="BO18" s="19"/>
      <c r="BP18" s="19"/>
      <c r="BQ18" s="19"/>
      <c r="BR18" s="19"/>
      <c r="BS18" s="19"/>
      <c r="BT18" s="19"/>
      <c r="BU18" s="19"/>
    </row>
    <row r="19" spans="1:73">
      <c r="A19" s="11" t="s">
        <v>81</v>
      </c>
      <c r="B19" s="12">
        <f>' B2级比赛 '!B19*5</f>
        <v>92.5</v>
      </c>
      <c r="C19" s="12">
        <f>' B2级比赛 '!C19*5</f>
        <v>64.75</v>
      </c>
      <c r="D19" s="15">
        <f>' B2级比赛 '!D19*5</f>
        <v>46.25</v>
      </c>
      <c r="E19" s="15">
        <f>' B2级比赛 '!E19*5</f>
        <v>32.375</v>
      </c>
      <c r="F19" s="15">
        <f>' B2级比赛 '!F19*5</f>
        <v>18.5</v>
      </c>
      <c r="G19" s="15">
        <f>' B2级比赛 '!G19*5</f>
        <v>15.4166666666667</v>
      </c>
      <c r="H19" s="15">
        <f>' B2级比赛 '!H19*5</f>
        <v>13.2142857142857</v>
      </c>
      <c r="I19" s="15">
        <f>' B2级比赛 '!I19*5</f>
        <v>11.5625</v>
      </c>
      <c r="J19" s="15">
        <f>' B2级比赛 '!J19*5</f>
        <v>10.2777777777778</v>
      </c>
      <c r="K19" s="15">
        <f>' B2级比赛 '!K19*5</f>
        <v>9.25</v>
      </c>
      <c r="L19" s="15">
        <f>' B2级比赛 '!L19*5</f>
        <v>8.40909090909091</v>
      </c>
      <c r="M19" s="15">
        <f>' B2级比赛 '!M19*5</f>
        <v>7.70833333333333</v>
      </c>
      <c r="N19" s="15">
        <f>' B2级比赛 '!N19*5</f>
        <v>7.11538461538462</v>
      </c>
      <c r="O19" s="15">
        <f>' B2级比赛 '!O19*5</f>
        <v>6.60714285714286</v>
      </c>
      <c r="P19" s="12">
        <f>' B2级比赛 '!P19*5</f>
        <v>6.16666666666667</v>
      </c>
      <c r="Q19" s="12">
        <f>' B2级比赛 '!Q19*5</f>
        <v>5.78125</v>
      </c>
      <c r="R19" s="13">
        <f>' B2级比赛 '!R19*5</f>
        <v>355.884098540349</v>
      </c>
      <c r="S19" s="14">
        <f>' B2级比赛 '!S19*5</f>
        <v>6.59044626926572</v>
      </c>
      <c r="T19" s="12">
        <f>' B2级比赛 '!T19*5</f>
        <v>0</v>
      </c>
      <c r="U19" s="12"/>
      <c r="V19" s="12">
        <f>' B2级比赛 '!V19*5</f>
        <v>0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9"/>
      <c r="BO19" s="19"/>
      <c r="BP19" s="19"/>
      <c r="BQ19" s="19"/>
      <c r="BR19" s="19"/>
      <c r="BS19" s="19"/>
      <c r="BT19" s="19"/>
      <c r="BU19" s="19"/>
    </row>
    <row r="20" spans="1:73">
      <c r="A20" s="11" t="s">
        <v>82</v>
      </c>
      <c r="B20" s="12">
        <f>' B2级比赛 '!B20*5</f>
        <v>100</v>
      </c>
      <c r="C20" s="12">
        <f>' B2级比赛 '!C20*5</f>
        <v>70</v>
      </c>
      <c r="D20" s="15">
        <f>' B2级比赛 '!D20*5</f>
        <v>50</v>
      </c>
      <c r="E20" s="15">
        <f>' B2级比赛 '!E20*5</f>
        <v>35</v>
      </c>
      <c r="F20" s="15">
        <f>' B2级比赛 '!F20*5</f>
        <v>20</v>
      </c>
      <c r="G20" s="15">
        <f>' B2级比赛 '!G20*5</f>
        <v>16.6666666666667</v>
      </c>
      <c r="H20" s="15">
        <f>' B2级比赛 '!H20*5</f>
        <v>14.2857142857143</v>
      </c>
      <c r="I20" s="15">
        <f>' B2级比赛 '!I20*5</f>
        <v>12.5</v>
      </c>
      <c r="J20" s="15">
        <f>' B2级比赛 '!J20*5</f>
        <v>11.1111111111111</v>
      </c>
      <c r="K20" s="15">
        <f>' B2级比赛 '!K20*5</f>
        <v>10</v>
      </c>
      <c r="L20" s="15">
        <f>' B2级比赛 '!L20*5</f>
        <v>9.09090909090909</v>
      </c>
      <c r="M20" s="15">
        <f>' B2级比赛 '!M20*5</f>
        <v>8.33333333333333</v>
      </c>
      <c r="N20" s="15">
        <f>' B2级比赛 '!N20*5</f>
        <v>7.69230769230769</v>
      </c>
      <c r="O20" s="15">
        <f>' B2级比赛 '!O20*5</f>
        <v>7.14285714285714</v>
      </c>
      <c r="P20" s="12">
        <f>' B2级比赛 '!P20*5</f>
        <v>6.66666666666667</v>
      </c>
      <c r="Q20" s="12">
        <f>' B2级比赛 '!Q20*5</f>
        <v>6.25</v>
      </c>
      <c r="R20" s="12">
        <f>' B2级比赛 '!R20*5</f>
        <v>5.88235294117647</v>
      </c>
      <c r="S20" s="13">
        <f>' B2级比赛 '!S20*5</f>
        <v>390.621918930742</v>
      </c>
      <c r="T20" s="14">
        <f>' B2级比赛 '!T20*5</f>
        <v>6.7348606712197</v>
      </c>
      <c r="U20" s="12"/>
      <c r="V20" s="12">
        <f>' B2级比赛 '!V20*5</f>
        <v>0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9"/>
      <c r="BO20" s="19"/>
      <c r="BP20" s="19"/>
      <c r="BQ20" s="19"/>
      <c r="BR20" s="19"/>
      <c r="BS20" s="19"/>
      <c r="BT20" s="19"/>
      <c r="BU20" s="19"/>
    </row>
    <row r="21" spans="1:73">
      <c r="A21" s="11" t="s">
        <v>83</v>
      </c>
      <c r="B21" s="12">
        <f>' B2级比赛 '!B21*5</f>
        <v>105</v>
      </c>
      <c r="C21" s="12">
        <f>' B2级比赛 '!C21*5</f>
        <v>73.5</v>
      </c>
      <c r="D21" s="15">
        <f>' B2级比赛 '!D21*5</f>
        <v>52.5</v>
      </c>
      <c r="E21" s="15">
        <f>' B2级比赛 '!E21*5</f>
        <v>36.75</v>
      </c>
      <c r="F21" s="15">
        <f>' B2级比赛 '!F21*5</f>
        <v>21</v>
      </c>
      <c r="G21" s="15">
        <f>' B2级比赛 '!G21*5</f>
        <v>17.5</v>
      </c>
      <c r="H21" s="15">
        <f>' B2级比赛 '!H21*5</f>
        <v>15</v>
      </c>
      <c r="I21" s="15">
        <f>' B2级比赛 '!I21*5</f>
        <v>13.125</v>
      </c>
      <c r="J21" s="15">
        <f>' B2级比赛 '!J21*5</f>
        <v>11.6666666666667</v>
      </c>
      <c r="K21" s="15">
        <f>' B2级比赛 '!K21*5</f>
        <v>10.5</v>
      </c>
      <c r="L21" s="15">
        <f>' B2级比赛 '!L21*5</f>
        <v>9.54545454545455</v>
      </c>
      <c r="M21" s="15">
        <f>' B2级比赛 '!M21*5</f>
        <v>8.75</v>
      </c>
      <c r="N21" s="15">
        <f>' B2级比赛 '!N21*5</f>
        <v>8.07692307692308</v>
      </c>
      <c r="O21" s="15">
        <f>' B2级比赛 '!O21*5</f>
        <v>7.5</v>
      </c>
      <c r="P21" s="12">
        <f>' B2级比赛 '!P21*5</f>
        <v>7</v>
      </c>
      <c r="Q21" s="12">
        <f>' B2级比赛 '!Q21*5</f>
        <v>6.5625</v>
      </c>
      <c r="R21" s="12">
        <f>' B2级比赛 '!R21*5</f>
        <v>6.17647058823529</v>
      </c>
      <c r="S21" s="12">
        <f>' B2级比赛 '!S21*5</f>
        <v>5.83333333333333</v>
      </c>
      <c r="T21" s="13">
        <f>' B2级比赛 '!T21*5</f>
        <v>415.986348210613</v>
      </c>
      <c r="U21" s="14">
        <f>' B2级比赛 '!U21*5</f>
        <v>6.81944833132152</v>
      </c>
      <c r="V21" s="12">
        <f>' B2级比赛 '!V21*5</f>
        <v>0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9"/>
      <c r="BO21" s="19"/>
      <c r="BP21" s="19"/>
      <c r="BQ21" s="19"/>
      <c r="BR21" s="19"/>
      <c r="BS21" s="19"/>
      <c r="BT21" s="19"/>
      <c r="BU21" s="19"/>
    </row>
    <row r="22" spans="1:110">
      <c r="A22" s="11" t="s">
        <v>84</v>
      </c>
      <c r="B22" s="12">
        <f>' B2级比赛 '!B22*5</f>
        <v>110</v>
      </c>
      <c r="C22" s="12">
        <f>' B2级比赛 '!C22*5</f>
        <v>77</v>
      </c>
      <c r="D22" s="15">
        <f>' B2级比赛 '!D22*5</f>
        <v>55</v>
      </c>
      <c r="E22" s="15">
        <f>' B2级比赛 '!E22*5</f>
        <v>38.5</v>
      </c>
      <c r="F22" s="15">
        <f>' B2级比赛 '!F22*5</f>
        <v>22</v>
      </c>
      <c r="G22" s="15">
        <f>' B2级比赛 '!G22*5</f>
        <v>18.3333333333333</v>
      </c>
      <c r="H22" s="15">
        <f>' B2级比赛 '!H22*5</f>
        <v>15.7142857142857</v>
      </c>
      <c r="I22" s="15">
        <f>' B2级比赛 '!I22*5</f>
        <v>13.75</v>
      </c>
      <c r="J22" s="15">
        <f>' B2级比赛 '!J22*5</f>
        <v>12.2222222222222</v>
      </c>
      <c r="K22" s="15">
        <f>' B2级比赛 '!K22*5</f>
        <v>11</v>
      </c>
      <c r="L22" s="15">
        <f>' B2级比赛 '!L22*5</f>
        <v>10</v>
      </c>
      <c r="M22" s="15">
        <f>' B2级比赛 '!M22*5</f>
        <v>9.16666666666667</v>
      </c>
      <c r="N22" s="15">
        <f>' B2级比赛 '!N22*5</f>
        <v>8.46153846153846</v>
      </c>
      <c r="O22" s="15">
        <f>' B2级比赛 '!O22*5</f>
        <v>7.85714285714286</v>
      </c>
      <c r="P22" s="12">
        <f>' B2级比赛 '!P22*5</f>
        <v>7.33333333333333</v>
      </c>
      <c r="Q22" s="12">
        <f>' B2级比赛 '!Q22*5</f>
        <v>6.875</v>
      </c>
      <c r="R22" s="12">
        <f>' B2级比赛 '!R22*5</f>
        <v>6.47058823529412</v>
      </c>
      <c r="S22" s="12">
        <f>' B2级比赛 '!S22*5</f>
        <v>6.11111111111111</v>
      </c>
      <c r="T22" s="12">
        <f>' B2级比赛 '!T22*5</f>
        <v>5.78947368421053</v>
      </c>
      <c r="U22" s="13">
        <f>' B2级比赛 '!U22*5</f>
        <v>441.584695619138</v>
      </c>
      <c r="V22" s="14">
        <f>' B2级比赛 '!V22*5</f>
        <v>6.89976086904904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23"/>
      <c r="BO22" s="23"/>
      <c r="BP22" s="23"/>
      <c r="BQ22" s="23"/>
      <c r="BR22" s="23"/>
      <c r="BS22" s="23"/>
      <c r="BT22" s="23"/>
      <c r="BU22" s="2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>
      <c r="A23" s="11" t="s">
        <v>85</v>
      </c>
      <c r="B23" s="12">
        <f>' B2级比赛 '!B23*5</f>
        <v>115</v>
      </c>
      <c r="C23" s="12">
        <f>' B2级比赛 '!C23*5</f>
        <v>80.5</v>
      </c>
      <c r="D23" s="15">
        <f>' B2级比赛 '!D23*5</f>
        <v>57.5</v>
      </c>
      <c r="E23" s="15">
        <f>' B2级比赛 '!E23*5</f>
        <v>40.25</v>
      </c>
      <c r="F23" s="15">
        <f>' B2级比赛 '!F23*5</f>
        <v>23</v>
      </c>
      <c r="G23" s="15">
        <f>' B2级比赛 '!G23*5</f>
        <v>19.1666666666667</v>
      </c>
      <c r="H23" s="15">
        <f>' B2级比赛 '!H23*5</f>
        <v>16.4285714285714</v>
      </c>
      <c r="I23" s="15">
        <f>' B2级比赛 '!I23*5</f>
        <v>14.375</v>
      </c>
      <c r="J23" s="15">
        <f>' B2级比赛 '!J23*5</f>
        <v>12.7777777777778</v>
      </c>
      <c r="K23" s="15">
        <f>' B2级比赛 '!K23*5</f>
        <v>11.5</v>
      </c>
      <c r="L23" s="15">
        <f>' B2级比赛 '!L23*5</f>
        <v>10.4545454545455</v>
      </c>
      <c r="M23" s="15">
        <f>' B2级比赛 '!M23*5</f>
        <v>9.58333333333333</v>
      </c>
      <c r="N23" s="15">
        <f>' B2级比赛 '!N23*5</f>
        <v>8.84615384615385</v>
      </c>
      <c r="O23" s="15">
        <f>' B2级比赛 '!O23*5</f>
        <v>8.21428571428571</v>
      </c>
      <c r="P23" s="12">
        <f>' B2级比赛 '!P23*5</f>
        <v>7.66666666666667</v>
      </c>
      <c r="Q23" s="12">
        <f>' B2级比赛 '!Q23*5</f>
        <v>7.1875</v>
      </c>
      <c r="R23" s="12">
        <f>' B2级比赛 '!R23*5</f>
        <v>6.76470588235294</v>
      </c>
      <c r="S23" s="12">
        <f>' B2级比赛 '!S23*5</f>
        <v>6.38888888888889</v>
      </c>
      <c r="T23" s="12">
        <f>' B2级比赛 '!T23*5</f>
        <v>6.05263157894737</v>
      </c>
      <c r="U23" s="12">
        <f>' B2级比赛 '!U23*5</f>
        <v>5.75</v>
      </c>
      <c r="V23" s="13">
        <f>' B2级比赛 '!V23*5</f>
        <v>467.40672723819</v>
      </c>
      <c r="W23" s="14">
        <f>' B2级比赛 '!W23*5</f>
        <v>6.87362834173809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23"/>
      <c r="BO23" s="23"/>
      <c r="BP23" s="23"/>
      <c r="BQ23" s="23"/>
      <c r="BR23" s="23"/>
      <c r="BS23" s="23"/>
      <c r="BT23" s="23"/>
      <c r="BU23" s="2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>
      <c r="A24" s="11" t="s">
        <v>86</v>
      </c>
      <c r="B24" s="12">
        <f>' B2级比赛 '!B24*5</f>
        <v>120</v>
      </c>
      <c r="C24" s="12">
        <f>' B2级比赛 '!C24*5</f>
        <v>84</v>
      </c>
      <c r="D24" s="15">
        <f>' B2级比赛 '!D24*5</f>
        <v>60</v>
      </c>
      <c r="E24" s="15">
        <f>' B2级比赛 '!E24*5</f>
        <v>42</v>
      </c>
      <c r="F24" s="15">
        <f>' B2级比赛 '!F24*5</f>
        <v>24</v>
      </c>
      <c r="G24" s="15">
        <f>' B2级比赛 '!G24*5</f>
        <v>20</v>
      </c>
      <c r="H24" s="15">
        <f>' B2级比赛 '!H24*5</f>
        <v>17.1428571428571</v>
      </c>
      <c r="I24" s="15">
        <f>' B2级比赛 '!I24*5</f>
        <v>15</v>
      </c>
      <c r="J24" s="15">
        <f>' B2级比赛 '!J24*5</f>
        <v>13.3333333333333</v>
      </c>
      <c r="K24" s="15">
        <f>' B2级比赛 '!K24*5</f>
        <v>12</v>
      </c>
      <c r="L24" s="15">
        <f>' B2级比赛 '!L24*5</f>
        <v>10.9090909090909</v>
      </c>
      <c r="M24" s="15">
        <f>' B2级比赛 '!M24*5</f>
        <v>10</v>
      </c>
      <c r="N24" s="15">
        <f>' B2级比赛 '!N24*5</f>
        <v>9.23076923076923</v>
      </c>
      <c r="O24" s="15">
        <f>' B2级比赛 '!O24*5</f>
        <v>8.57142857142857</v>
      </c>
      <c r="P24" s="12">
        <f>' B2级比赛 '!P24*5</f>
        <v>8</v>
      </c>
      <c r="Q24" s="12">
        <f>' B2级比赛 '!Q24*5</f>
        <v>7.5</v>
      </c>
      <c r="R24" s="12">
        <f>' B2级比赛 '!R24*5</f>
        <v>7.05882352941177</v>
      </c>
      <c r="S24" s="12">
        <f>' B2级比赛 '!S24*5</f>
        <v>6.66666666666667</v>
      </c>
      <c r="T24" s="12">
        <f>' B2级比赛 '!T24*5</f>
        <v>6.31578947368421</v>
      </c>
      <c r="U24" s="12">
        <f>' B2级比赛 '!U24*5</f>
        <v>6</v>
      </c>
      <c r="V24" s="12">
        <f>' B2级比赛 '!V24*5</f>
        <v>5.71428571428571</v>
      </c>
      <c r="W24" s="13">
        <f>' B2级比赛 '!W24*5</f>
        <v>493.443044571527</v>
      </c>
      <c r="X24" s="14">
        <f>' B2级比赛 '!X24*5</f>
        <v>6.9499020362187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>
        <f>' B2级比赛 '!AI24*5</f>
        <v>0</v>
      </c>
      <c r="AJ24" s="12"/>
      <c r="AK24" s="12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>
        <f>' B2级比赛 '!AV24*5</f>
        <v>0</v>
      </c>
      <c r="AW24" s="18">
        <f>' B2级比赛 '!AW24*5</f>
        <v>0</v>
      </c>
      <c r="AX24" s="18">
        <f>' B2级比赛 '!AX24*5</f>
        <v>0</v>
      </c>
      <c r="AY24" s="18">
        <f>' B2级比赛 '!AY24*5</f>
        <v>0</v>
      </c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23"/>
      <c r="BO24" s="23"/>
      <c r="BP24" s="23"/>
      <c r="BQ24" s="23"/>
      <c r="BR24" s="23"/>
      <c r="BS24" s="23"/>
      <c r="BT24" s="23"/>
      <c r="BU24" s="2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>
      <c r="A25" s="11" t="s">
        <v>87</v>
      </c>
      <c r="B25" s="12">
        <f>' B2级比赛 '!B25*5</f>
        <v>125</v>
      </c>
      <c r="C25" s="12">
        <f>' B2级比赛 '!C25*5</f>
        <v>87.5</v>
      </c>
      <c r="D25" s="15">
        <f>' B2级比赛 '!D25*5</f>
        <v>62.5</v>
      </c>
      <c r="E25" s="15">
        <f>' B2级比赛 '!E25*5</f>
        <v>43.75</v>
      </c>
      <c r="F25" s="15">
        <f>' B2级比赛 '!F25*5</f>
        <v>25</v>
      </c>
      <c r="G25" s="15">
        <f>' B2级比赛 '!G25*5</f>
        <v>20.8333333333333</v>
      </c>
      <c r="H25" s="15">
        <f>' B2级比赛 '!H25*5</f>
        <v>17.8571428571429</v>
      </c>
      <c r="I25" s="15">
        <f>' B2级比赛 '!I25*5</f>
        <v>15.625</v>
      </c>
      <c r="J25" s="15">
        <f>' B2级比赛 '!J25*5</f>
        <v>13.8888888888889</v>
      </c>
      <c r="K25" s="15">
        <f>' B2级比赛 '!K25*5</f>
        <v>12.5</v>
      </c>
      <c r="L25" s="15">
        <f>' B2级比赛 '!L25*5</f>
        <v>11.3636363636364</v>
      </c>
      <c r="M25" s="15">
        <f>' B2级比赛 '!M25*5</f>
        <v>10.4166666666667</v>
      </c>
      <c r="N25" s="15">
        <f>' B2级比赛 '!N25*5</f>
        <v>9.61538461538461</v>
      </c>
      <c r="O25" s="15">
        <f>' B2级比赛 '!O25*5</f>
        <v>8.92857142857143</v>
      </c>
      <c r="P25" s="12">
        <f>' B2级比赛 '!P25*5</f>
        <v>8.33333333333333</v>
      </c>
      <c r="Q25" s="12">
        <f>' B2级比赛 '!Q25*5</f>
        <v>7.8125</v>
      </c>
      <c r="R25" s="12">
        <f>' B2级比赛 '!R25*5</f>
        <v>7.35294117647059</v>
      </c>
      <c r="S25" s="12">
        <f>' B2级比赛 '!S25*5</f>
        <v>6.94444444444444</v>
      </c>
      <c r="T25" s="12">
        <f>' B2级比赛 '!T25*5</f>
        <v>6.57894736842105</v>
      </c>
      <c r="U25" s="12">
        <f>' B2级比赛 '!U25*5</f>
        <v>6.25</v>
      </c>
      <c r="V25" s="12">
        <f>' B2级比赛 '!V25*5</f>
        <v>5.95238095238095</v>
      </c>
      <c r="W25" s="12">
        <f>' B2级比赛 '!W25*5</f>
        <v>5.68181818181818</v>
      </c>
      <c r="X25" s="13">
        <f>' B2级比赛 '!X25*5</f>
        <v>519.684989610493</v>
      </c>
      <c r="Y25" s="14">
        <f>' B2级比赛 '!Y25*5</f>
        <v>6.92913319480657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>
        <f>' B2级比赛 '!AI25*5</f>
        <v>0</v>
      </c>
      <c r="AJ25" s="12"/>
      <c r="AK25" s="12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>
        <f>' B2级比赛 '!AV25*5</f>
        <v>0</v>
      </c>
      <c r="AW25" s="18">
        <f>' B2级比赛 '!AW25*5</f>
        <v>0</v>
      </c>
      <c r="AX25" s="18">
        <f>' B2级比赛 '!AX25*5</f>
        <v>0</v>
      </c>
      <c r="AY25" s="18">
        <f>' B2级比赛 '!AY25*5</f>
        <v>0</v>
      </c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23"/>
      <c r="BO25" s="23"/>
      <c r="BP25" s="23"/>
      <c r="BQ25" s="23"/>
      <c r="BR25" s="23"/>
      <c r="BS25" s="23"/>
      <c r="BT25" s="23"/>
      <c r="BU25" s="2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>
      <c r="A26" s="11" t="s">
        <v>88</v>
      </c>
      <c r="B26" s="12">
        <f>' B2级比赛 '!B26*5</f>
        <v>130</v>
      </c>
      <c r="C26" s="12">
        <f>' B2级比赛 '!C26*5</f>
        <v>91</v>
      </c>
      <c r="D26" s="15">
        <f>' B2级比赛 '!D26*5</f>
        <v>65</v>
      </c>
      <c r="E26" s="15">
        <f>' B2级比赛 '!E26*5</f>
        <v>45.5</v>
      </c>
      <c r="F26" s="15">
        <f>' B2级比赛 '!F26*5</f>
        <v>26</v>
      </c>
      <c r="G26" s="15">
        <f>' B2级比赛 '!G26*5</f>
        <v>21.6666666666667</v>
      </c>
      <c r="H26" s="15">
        <f>' B2级比赛 '!H26*5</f>
        <v>18.5714285714286</v>
      </c>
      <c r="I26" s="15">
        <f>' B2级比赛 '!I26*5</f>
        <v>16.25</v>
      </c>
      <c r="J26" s="15">
        <f>' B2级比赛 '!J26*5</f>
        <v>14.4444444444444</v>
      </c>
      <c r="K26" s="15">
        <f>' B2级比赛 '!K26*5</f>
        <v>13</v>
      </c>
      <c r="L26" s="15">
        <f>' B2级比赛 '!L26*5</f>
        <v>11.8181818181818</v>
      </c>
      <c r="M26" s="15">
        <f>' B2级比赛 '!M26*5</f>
        <v>10.8333333333333</v>
      </c>
      <c r="N26" s="15">
        <f>' B2级比赛 '!N26*5</f>
        <v>10</v>
      </c>
      <c r="O26" s="15">
        <f>' B2级比赛 '!O26*5</f>
        <v>9.28571428571429</v>
      </c>
      <c r="P26" s="12">
        <f>' B2级比赛 '!P26*5</f>
        <v>8.66666666666667</v>
      </c>
      <c r="Q26" s="12">
        <f>' B2级比赛 '!Q26*5</f>
        <v>8.125</v>
      </c>
      <c r="R26" s="12">
        <f>' B2级比赛 '!R26*5</f>
        <v>7.64705882352941</v>
      </c>
      <c r="S26" s="12">
        <f>' B2级比赛 '!S26*5</f>
        <v>7.22222222222222</v>
      </c>
      <c r="T26" s="12">
        <f>' B2级比赛 '!T26*5</f>
        <v>6.84210526315789</v>
      </c>
      <c r="U26" s="12">
        <f>' B2级比赛 '!U26*5</f>
        <v>6.5</v>
      </c>
      <c r="V26" s="12">
        <f>' B2级比赛 '!V26*5</f>
        <v>6.19047619047619</v>
      </c>
      <c r="W26" s="12">
        <f>' B2级比赛 '!W26*5</f>
        <v>5.90909090909091</v>
      </c>
      <c r="X26" s="12">
        <f>' B2级比赛 '!X26*5</f>
        <v>5.65217391304348</v>
      </c>
      <c r="Y26" s="13">
        <f>' B2级比赛 '!Y26*5</f>
        <v>546.124563107956</v>
      </c>
      <c r="Z26" s="14">
        <f>' B2级比赛 '!Z26*5</f>
        <v>7.00159696292251</v>
      </c>
      <c r="AA26" s="12"/>
      <c r="AB26" s="12"/>
      <c r="AC26" s="12"/>
      <c r="AD26" s="12"/>
      <c r="AE26" s="12"/>
      <c r="AF26" s="12"/>
      <c r="AG26" s="12"/>
      <c r="AH26" s="12"/>
      <c r="AI26" s="12">
        <f>' B2级比赛 '!AI26*5</f>
        <v>0</v>
      </c>
      <c r="AJ26" s="12"/>
      <c r="AK26" s="12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>
        <f>' B2级比赛 '!AV26*5</f>
        <v>0</v>
      </c>
      <c r="AW26" s="18">
        <f>' B2级比赛 '!AW26*5</f>
        <v>0</v>
      </c>
      <c r="AX26" s="18">
        <f>' B2级比赛 '!AX26*5</f>
        <v>0</v>
      </c>
      <c r="AY26" s="18">
        <f>' B2级比赛 '!AY26*5</f>
        <v>0</v>
      </c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23"/>
      <c r="BO26" s="23"/>
      <c r="BP26" s="23"/>
      <c r="BQ26" s="23"/>
      <c r="BR26" s="23"/>
      <c r="BS26" s="23"/>
      <c r="BT26" s="23"/>
      <c r="BU26" s="2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>
      <c r="A27" s="11" t="s">
        <v>89</v>
      </c>
      <c r="B27" s="12">
        <f>' B2级比赛 '!B27*5</f>
        <v>140</v>
      </c>
      <c r="C27" s="12">
        <f>' B2级比赛 '!C27*5</f>
        <v>98</v>
      </c>
      <c r="D27" s="15">
        <f>' B2级比赛 '!D27*5</f>
        <v>70</v>
      </c>
      <c r="E27" s="15">
        <f>' B2级比赛 '!E27*5</f>
        <v>49</v>
      </c>
      <c r="F27" s="15">
        <f>' B2级比赛 '!F27*5</f>
        <v>28</v>
      </c>
      <c r="G27" s="15">
        <f>' B2级比赛 '!G27*5</f>
        <v>23.3333333333333</v>
      </c>
      <c r="H27" s="15">
        <f>' B2级比赛 '!H27*5</f>
        <v>20</v>
      </c>
      <c r="I27" s="15">
        <f>' B2级比赛 '!I27*5</f>
        <v>17.5</v>
      </c>
      <c r="J27" s="15">
        <f>' B2级比赛 '!J27*5</f>
        <v>15.5555555555556</v>
      </c>
      <c r="K27" s="15">
        <f>' B2级比赛 '!K27*5</f>
        <v>14</v>
      </c>
      <c r="L27" s="15">
        <f>' B2级比赛 '!L27*5</f>
        <v>12.7272727272727</v>
      </c>
      <c r="M27" s="15">
        <f>' B2级比赛 '!M27*5</f>
        <v>11.6666666666667</v>
      </c>
      <c r="N27" s="15">
        <f>' B2级比赛 '!N27*5</f>
        <v>10.7692307692308</v>
      </c>
      <c r="O27" s="15">
        <f>' B2级比赛 '!O27*5</f>
        <v>10</v>
      </c>
      <c r="P27" s="12">
        <f>' B2级比赛 '!P27*5</f>
        <v>9.33333333333333</v>
      </c>
      <c r="Q27" s="12">
        <f>' B2级比赛 '!Q27*5</f>
        <v>8.75</v>
      </c>
      <c r="R27" s="12">
        <f>' B2级比赛 '!R27*5</f>
        <v>8.23529411764706</v>
      </c>
      <c r="S27" s="12">
        <f>' B2级比赛 '!S27*5</f>
        <v>7.77777777777778</v>
      </c>
      <c r="T27" s="12">
        <f>' B2级比赛 '!T27*5</f>
        <v>7.36842105263158</v>
      </c>
      <c r="U27" s="12">
        <f>' B2级比赛 '!U27*5</f>
        <v>7</v>
      </c>
      <c r="V27" s="12">
        <f>' B2级比赛 '!V27*5</f>
        <v>6.66666666666667</v>
      </c>
      <c r="W27" s="12">
        <f>' B2级比赛 '!W27*5</f>
        <v>6.36363636363636</v>
      </c>
      <c r="X27" s="12">
        <f>' B2级比赛 '!X27*5</f>
        <v>6.08695652173913</v>
      </c>
      <c r="Y27" s="12">
        <f>' B2级比赛 '!Y27*5</f>
        <v>5.83333333333333</v>
      </c>
      <c r="Z27" s="13">
        <f>' B2级比赛 '!Z27*5</f>
        <v>593.967478218824</v>
      </c>
      <c r="AA27" s="14">
        <f>' B2级比赛 '!AA27*5</f>
        <v>7.07104140736695</v>
      </c>
      <c r="AB27" s="12"/>
      <c r="AC27" s="12"/>
      <c r="AD27" s="12"/>
      <c r="AE27" s="12"/>
      <c r="AF27" s="12"/>
      <c r="AG27" s="12"/>
      <c r="AH27" s="12"/>
      <c r="AI27" s="12">
        <f>' B2级比赛 '!AI27*5</f>
        <v>0</v>
      </c>
      <c r="AJ27" s="12"/>
      <c r="AK27" s="12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>
        <f>' B2级比赛 '!AV27*5</f>
        <v>0</v>
      </c>
      <c r="AW27" s="18">
        <f>' B2级比赛 '!AW27*5</f>
        <v>0</v>
      </c>
      <c r="AX27" s="18">
        <f>' B2级比赛 '!AX27*5</f>
        <v>0</v>
      </c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23"/>
      <c r="BO27" s="23"/>
      <c r="BP27" s="23"/>
      <c r="BQ27" s="23"/>
      <c r="BR27" s="23"/>
      <c r="BS27" s="23"/>
      <c r="BT27" s="23"/>
      <c r="BU27" s="2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>
      <c r="A28" s="11" t="s">
        <v>90</v>
      </c>
      <c r="B28" s="12">
        <f>' B2级比赛 '!B28*5</f>
        <v>150</v>
      </c>
      <c r="C28" s="12">
        <f>' B2级比赛 '!C28*5</f>
        <v>105</v>
      </c>
      <c r="D28" s="15">
        <f>' B2级比赛 '!D28*5</f>
        <v>75</v>
      </c>
      <c r="E28" s="15">
        <f>' B2级比赛 '!E28*5</f>
        <v>52.5</v>
      </c>
      <c r="F28" s="15">
        <f>' B2级比赛 '!F28*5</f>
        <v>30</v>
      </c>
      <c r="G28" s="15">
        <f>' B2级比赛 '!G28*5</f>
        <v>25</v>
      </c>
      <c r="H28" s="15">
        <f>' B2级比赛 '!H28*5</f>
        <v>21.4285714285714</v>
      </c>
      <c r="I28" s="15">
        <f>' B2级比赛 '!I28*5</f>
        <v>18.75</v>
      </c>
      <c r="J28" s="15">
        <f>' B2级比赛 '!J28*5</f>
        <v>16.6666666666667</v>
      </c>
      <c r="K28" s="15">
        <f>' B2级比赛 '!K28*5</f>
        <v>15</v>
      </c>
      <c r="L28" s="15">
        <f>' B2级比赛 '!L28*5</f>
        <v>13.6363636363636</v>
      </c>
      <c r="M28" s="15">
        <f>' B2级比赛 '!M28*5</f>
        <v>12.5</v>
      </c>
      <c r="N28" s="15">
        <f>' B2级比赛 '!N28*5</f>
        <v>11.5384615384615</v>
      </c>
      <c r="O28" s="15">
        <f>' B2级比赛 '!O28*5</f>
        <v>10.7142857142857</v>
      </c>
      <c r="P28" s="12">
        <f>' B2级比赛 '!P28*5</f>
        <v>10</v>
      </c>
      <c r="Q28" s="12">
        <f>' B2级比赛 '!Q28*5</f>
        <v>9.375</v>
      </c>
      <c r="R28" s="12">
        <f>' B2级比赛 '!R28*5</f>
        <v>8.82352941176471</v>
      </c>
      <c r="S28" s="12">
        <f>' B2级比赛 '!S28*5</f>
        <v>8.33333333333333</v>
      </c>
      <c r="T28" s="12">
        <f>' B2级比赛 '!T28*5</f>
        <v>7.89473684210526</v>
      </c>
      <c r="U28" s="12">
        <f>' B2级比赛 '!U28*5</f>
        <v>7.5</v>
      </c>
      <c r="V28" s="12">
        <f>' B2级比赛 '!V28*5</f>
        <v>7.14285714285714</v>
      </c>
      <c r="W28" s="12">
        <f>' B2级比赛 '!W28*5</f>
        <v>6.81818181818182</v>
      </c>
      <c r="X28" s="12">
        <f>' B2级比赛 '!X28*5</f>
        <v>6.52173913043478</v>
      </c>
      <c r="Y28" s="12">
        <f>' B2级比赛 '!Y28*5</f>
        <v>6.25</v>
      </c>
      <c r="Z28" s="12">
        <f>' B2级比赛 '!Z28*5</f>
        <v>6</v>
      </c>
      <c r="AA28" s="12">
        <f>' B2级比赛 '!AA28*5</f>
        <v>5.76923076923077</v>
      </c>
      <c r="AB28" s="13">
        <f>' B2级比赛 '!AB28*5</f>
        <v>648.162957432257</v>
      </c>
      <c r="AC28" s="14">
        <f>' B2级比赛 '!AC28*5</f>
        <v>7.36548815263928</v>
      </c>
      <c r="AD28" s="12"/>
      <c r="AE28" s="12"/>
      <c r="AF28" s="12"/>
      <c r="AG28" s="12"/>
      <c r="AH28" s="12"/>
      <c r="AI28" s="12">
        <f>' B2级比赛 '!AI28*5</f>
        <v>0</v>
      </c>
      <c r="AJ28" s="12"/>
      <c r="AK28" s="12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23"/>
      <c r="BO28" s="23"/>
      <c r="BP28" s="23"/>
      <c r="BQ28" s="23"/>
      <c r="BR28" s="23"/>
      <c r="BS28" s="23"/>
      <c r="BT28" s="23"/>
      <c r="BU28" s="2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>
      <c r="A29" s="11" t="s">
        <v>91</v>
      </c>
      <c r="B29" s="12">
        <f>' B2级比赛 '!B29*5</f>
        <v>165</v>
      </c>
      <c r="C29" s="12">
        <f>' B2级比赛 '!C29*5</f>
        <v>115.5</v>
      </c>
      <c r="D29" s="15">
        <f>' B2级比赛 '!D29*5</f>
        <v>82.5</v>
      </c>
      <c r="E29" s="15">
        <f>' B2级比赛 '!E29*5</f>
        <v>57.75</v>
      </c>
      <c r="F29" s="15">
        <f>' B2级比赛 '!F29*5</f>
        <v>33</v>
      </c>
      <c r="G29" s="15">
        <f>' B2级比赛 '!G29*5</f>
        <v>27.5</v>
      </c>
      <c r="H29" s="15">
        <f>' B2级比赛 '!H29*5</f>
        <v>23.5714285714286</v>
      </c>
      <c r="I29" s="15">
        <f>' B2级比赛 '!I29*5</f>
        <v>20.625</v>
      </c>
      <c r="J29" s="15">
        <f>' B2级比赛 '!J29*5</f>
        <v>18.3333333333333</v>
      </c>
      <c r="K29" s="15">
        <f>' B2级比赛 '!K29*5</f>
        <v>16.5</v>
      </c>
      <c r="L29" s="15">
        <f>' B2级比赛 '!L29*5</f>
        <v>15</v>
      </c>
      <c r="M29" s="15">
        <f>' B2级比赛 '!M29*5</f>
        <v>13.75</v>
      </c>
      <c r="N29" s="15">
        <f>' B2级比赛 '!N29*5</f>
        <v>12.6923076923077</v>
      </c>
      <c r="O29" s="15">
        <f>' B2级比赛 '!O29*5</f>
        <v>11.7857142857143</v>
      </c>
      <c r="P29" s="12">
        <f>' B2级比赛 '!P29*5</f>
        <v>11</v>
      </c>
      <c r="Q29" s="12">
        <f>' B2级比赛 '!Q29*5</f>
        <v>10.3125</v>
      </c>
      <c r="R29" s="12">
        <f>' B2级比赛 '!R29*5</f>
        <v>9.70588235294118</v>
      </c>
      <c r="S29" s="12">
        <f>' B2级比赛 '!S29*5</f>
        <v>9.16666666666667</v>
      </c>
      <c r="T29" s="12">
        <f>' B2级比赛 '!T29*5</f>
        <v>8.68421052631579</v>
      </c>
      <c r="U29" s="12">
        <f>' B2级比赛 '!U29*5</f>
        <v>8.25</v>
      </c>
      <c r="V29" s="12">
        <f>' B2级比赛 '!V29*5</f>
        <v>7.85714285714286</v>
      </c>
      <c r="W29" s="12">
        <f>' B2级比赛 '!W29*5</f>
        <v>7.5</v>
      </c>
      <c r="X29" s="12">
        <f>' B2级比赛 '!X29*5</f>
        <v>7.17391304347826</v>
      </c>
      <c r="Y29" s="12">
        <f>' B2级比赛 '!Y29*5</f>
        <v>6.875</v>
      </c>
      <c r="Z29" s="12">
        <f>' B2级比赛 '!Z29*5</f>
        <v>6.6</v>
      </c>
      <c r="AA29" s="12">
        <f>' B2级比赛 '!AA29*5</f>
        <v>6.34615384615385</v>
      </c>
      <c r="AB29" s="12">
        <f>' B2级比赛 '!AB29*5</f>
        <v>6.11111111111111</v>
      </c>
      <c r="AC29" s="12">
        <f>' B2级比赛 '!AC29*5</f>
        <v>5.89285714285714</v>
      </c>
      <c r="AD29" s="13">
        <f>' B2级比赛 '!AD29*5</f>
        <v>724.983221429451</v>
      </c>
      <c r="AE29" s="14">
        <f>' B2级比赛 '!AE29*5</f>
        <v>7.63140233083632</v>
      </c>
      <c r="AF29" s="12"/>
      <c r="AG29" s="12"/>
      <c r="AH29" s="12"/>
      <c r="AI29" s="12">
        <f>' B2级比赛 '!AI29*5</f>
        <v>0</v>
      </c>
      <c r="AJ29" s="12"/>
      <c r="AK29" s="12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23"/>
      <c r="BO29" s="23"/>
      <c r="BP29" s="23"/>
      <c r="BQ29" s="23"/>
      <c r="BR29" s="23"/>
      <c r="BS29" s="23"/>
      <c r="BT29" s="23"/>
      <c r="BU29" s="2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>
      <c r="A30" s="11" t="s">
        <v>92</v>
      </c>
      <c r="B30" s="12">
        <f>' B2级比赛 '!B30*5</f>
        <v>172.5</v>
      </c>
      <c r="C30" s="12">
        <f>' B2级比赛 '!C30*5</f>
        <v>120.75</v>
      </c>
      <c r="D30" s="15">
        <f>' B2级比赛 '!D30*5</f>
        <v>86.25</v>
      </c>
      <c r="E30" s="15">
        <f>' B2级比赛 '!E30*5</f>
        <v>60.375</v>
      </c>
      <c r="F30" s="15">
        <f>' B2级比赛 '!F30*5</f>
        <v>34.5</v>
      </c>
      <c r="G30" s="15">
        <f>' B2级比赛 '!G30*5</f>
        <v>28.75</v>
      </c>
      <c r="H30" s="15">
        <f>' B2级比赛 '!H30*5</f>
        <v>24.6428571428571</v>
      </c>
      <c r="I30" s="15">
        <f>' B2级比赛 '!I30*5</f>
        <v>21.5625</v>
      </c>
      <c r="J30" s="15">
        <f>' B2级比赛 '!J30*5</f>
        <v>19.1666666666667</v>
      </c>
      <c r="K30" s="15">
        <f>' B2级比赛 '!K30*5</f>
        <v>17.25</v>
      </c>
      <c r="L30" s="15">
        <f>' B2级比赛 '!L30*5</f>
        <v>15.6818181818182</v>
      </c>
      <c r="M30" s="15">
        <f>' B2级比赛 '!M30*5</f>
        <v>14.375</v>
      </c>
      <c r="N30" s="15">
        <f>' B2级比赛 '!N30*5</f>
        <v>13.2692307692308</v>
      </c>
      <c r="O30" s="15">
        <f>' B2级比赛 '!O30*5</f>
        <v>12.3214285714286</v>
      </c>
      <c r="P30" s="12">
        <f>' B2级比赛 '!P30*5</f>
        <v>11.5</v>
      </c>
      <c r="Q30" s="12">
        <f>' B2级比赛 '!Q30*5</f>
        <v>10.78125</v>
      </c>
      <c r="R30" s="12">
        <f>' B2级比赛 '!R30*5</f>
        <v>10.1470588235294</v>
      </c>
      <c r="S30" s="12">
        <f>' B2级比赛 '!S30*5</f>
        <v>9.58333333333333</v>
      </c>
      <c r="T30" s="12">
        <f>' B2级比赛 '!T30*5</f>
        <v>9.07894736842105</v>
      </c>
      <c r="U30" s="12">
        <f>' B2级比赛 '!U30*5</f>
        <v>8.625</v>
      </c>
      <c r="V30" s="12">
        <f>' B2级比赛 '!V30*5</f>
        <v>8.21428571428571</v>
      </c>
      <c r="W30" s="12">
        <f>' B2级比赛 '!W30*5</f>
        <v>7.84090909090909</v>
      </c>
      <c r="X30" s="12">
        <f>' B2级比赛 '!X30*5</f>
        <v>7.5</v>
      </c>
      <c r="Y30" s="12">
        <f>' B2级比赛 '!Y30*5</f>
        <v>7.1875</v>
      </c>
      <c r="Z30" s="12">
        <f>' B2级比赛 '!Z30*5</f>
        <v>6.9</v>
      </c>
      <c r="AA30" s="12">
        <f>' B2级比赛 '!AA30*5</f>
        <v>6.63461538461538</v>
      </c>
      <c r="AB30" s="12">
        <f>' B2级比赛 '!AB30*5</f>
        <v>6.38888888888889</v>
      </c>
      <c r="AC30" s="12">
        <f>' B2级比赛 '!AC30*5</f>
        <v>6.16071428571429</v>
      </c>
      <c r="AD30" s="12">
        <f>' B2级比赛 '!AD30*5</f>
        <v>5.94827586206897</v>
      </c>
      <c r="AE30" s="13">
        <f>' B2级比赛 '!AE30*5</f>
        <v>763.885280083767</v>
      </c>
      <c r="AF30" s="14">
        <f>' B2级比赛 '!AF30*5</f>
        <v>7.79474775595681</v>
      </c>
      <c r="AG30" s="12"/>
      <c r="AH30" s="12"/>
      <c r="AI30" s="12">
        <f>' B2级比赛 '!AI30*5</f>
        <v>0</v>
      </c>
      <c r="AJ30" s="12"/>
      <c r="AK30" s="12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23"/>
      <c r="BO30" s="23"/>
      <c r="BP30" s="23"/>
      <c r="BQ30" s="23"/>
      <c r="BR30" s="23"/>
      <c r="BS30" s="23"/>
      <c r="BT30" s="23"/>
      <c r="BU30" s="2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="2" customFormat="1" spans="1:110">
      <c r="A31" s="16" t="s">
        <v>93</v>
      </c>
      <c r="B31" s="17">
        <f>' B2级比赛 '!B31*5</f>
        <v>182.5</v>
      </c>
      <c r="C31" s="17">
        <f>' B2级比赛 '!C31*5</f>
        <v>127.75</v>
      </c>
      <c r="D31" s="17">
        <f>' B2级比赛 '!D31*5</f>
        <v>91.25</v>
      </c>
      <c r="E31" s="17">
        <f>' B2级比赛 '!E31*5</f>
        <v>63.875</v>
      </c>
      <c r="F31" s="17">
        <f>' B2级比赛 '!F31*5</f>
        <v>36.5</v>
      </c>
      <c r="G31" s="17">
        <f>' B2级比赛 '!G31*5</f>
        <v>30.4166666666667</v>
      </c>
      <c r="H31" s="17">
        <f>' B2级比赛 '!H31*5</f>
        <v>26.0714285714286</v>
      </c>
      <c r="I31" s="17">
        <f>' B2级比赛 '!I31*5</f>
        <v>22.8125</v>
      </c>
      <c r="J31" s="17">
        <f>' B2级比赛 '!J31*5</f>
        <v>20.2777777777778</v>
      </c>
      <c r="K31" s="17">
        <f>' B2级比赛 '!K31*5</f>
        <v>18.25</v>
      </c>
      <c r="L31" s="17">
        <f>' B2级比赛 '!L31*5</f>
        <v>16.5909090909091</v>
      </c>
      <c r="M31" s="17">
        <f>' B2级比赛 '!M31*5</f>
        <v>15.2083333333333</v>
      </c>
      <c r="N31" s="17">
        <f>' B2级比赛 '!N31*5</f>
        <v>14.0384615384615</v>
      </c>
      <c r="O31" s="17">
        <f>' B2级比赛 '!O31*5</f>
        <v>13.0357142857143</v>
      </c>
      <c r="P31" s="17">
        <f>' B2级比赛 '!P31*5</f>
        <v>12.1666666666667</v>
      </c>
      <c r="Q31" s="17">
        <f>' B2级比赛 '!Q31*5</f>
        <v>11.40625</v>
      </c>
      <c r="R31" s="17">
        <f>' B2级比赛 '!R31*5</f>
        <v>10.7352941176471</v>
      </c>
      <c r="S31" s="17">
        <f>' B2级比赛 '!S31*5</f>
        <v>10.1388888888889</v>
      </c>
      <c r="T31" s="17">
        <f>' B2级比赛 '!T31*5</f>
        <v>9.60526315789474</v>
      </c>
      <c r="U31" s="17">
        <f>' B2级比赛 '!U31*5</f>
        <v>9.125</v>
      </c>
      <c r="V31" s="17">
        <f>' B2级比赛 '!V31*5</f>
        <v>8.69047619047619</v>
      </c>
      <c r="W31" s="17">
        <f>' B2级比赛 '!W31*5</f>
        <v>8.29545454545455</v>
      </c>
      <c r="X31" s="17">
        <f>' B2级比赛 '!X31*5</f>
        <v>7.93478260869565</v>
      </c>
      <c r="Y31" s="17">
        <f>' B2级比赛 '!Y31*5</f>
        <v>7.60416666666667</v>
      </c>
      <c r="Z31" s="17">
        <f>' B2级比赛 '!Z31*5</f>
        <v>7.3</v>
      </c>
      <c r="AA31" s="17">
        <f>' B2级比赛 '!AA31*5</f>
        <v>7.01923076923077</v>
      </c>
      <c r="AB31" s="17">
        <f>' B2级比赛 '!AB31*5</f>
        <v>6.75925925925926</v>
      </c>
      <c r="AC31" s="17">
        <f>' B2级比赛 '!AC31*5</f>
        <v>6.51785714285714</v>
      </c>
      <c r="AD31" s="17">
        <f>' B2级比赛 '!AD31*5</f>
        <v>6.29310344827586</v>
      </c>
      <c r="AE31" s="17">
        <f>' B2级比赛 '!AE31*5</f>
        <v>6.08333333333333</v>
      </c>
      <c r="AF31" s="17">
        <f>' B2级比赛 '!AF31*5</f>
        <v>5.88709677419355</v>
      </c>
      <c r="AG31" s="13">
        <f>' B2级比赛 '!AG31*5</f>
        <v>820.138914833832</v>
      </c>
      <c r="AH31" s="14">
        <f>' B2级比赛 '!AH31*5</f>
        <v>7.88595110417146</v>
      </c>
      <c r="AI31" s="12">
        <f>' B2级比赛 '!AI31*5</f>
        <v>0</v>
      </c>
      <c r="AJ31" s="12"/>
      <c r="AK31" s="12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23"/>
      <c r="BO31" s="23"/>
      <c r="BP31" s="23"/>
      <c r="BQ31" s="23"/>
      <c r="BR31" s="23"/>
      <c r="BS31" s="23"/>
      <c r="BT31" s="23"/>
      <c r="BU31" s="2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>
      <c r="A32" s="11" t="s">
        <v>94</v>
      </c>
      <c r="B32" s="12">
        <f>' B2级比赛 '!B32*5</f>
        <v>187.5</v>
      </c>
      <c r="C32" s="12">
        <f>' B2级比赛 '!C32*5</f>
        <v>131.25</v>
      </c>
      <c r="D32" s="15">
        <f>' B2级比赛 '!D32*5</f>
        <v>93.75</v>
      </c>
      <c r="E32" s="15">
        <f>' B2级比赛 '!E32*5</f>
        <v>65.625</v>
      </c>
      <c r="F32" s="15">
        <f>' B2级比赛 '!F32*5</f>
        <v>37.5</v>
      </c>
      <c r="G32" s="15">
        <f>' B2级比赛 '!G32*5</f>
        <v>31.25</v>
      </c>
      <c r="H32" s="15">
        <f>' B2级比赛 '!H32*5</f>
        <v>26.7857142857143</v>
      </c>
      <c r="I32" s="15">
        <f>' B2级比赛 '!I32*5</f>
        <v>23.4375</v>
      </c>
      <c r="J32" s="15">
        <f>' B2级比赛 '!J32*5</f>
        <v>20.8333333333333</v>
      </c>
      <c r="K32" s="15">
        <f>' B2级比赛 '!K32*5</f>
        <v>18.75</v>
      </c>
      <c r="L32" s="15">
        <f>' B2级比赛 '!L32*5</f>
        <v>17.0454545454545</v>
      </c>
      <c r="M32" s="15">
        <f>' B2级比赛 '!M32*5</f>
        <v>15.625</v>
      </c>
      <c r="N32" s="15">
        <f>' B2级比赛 '!N32*5</f>
        <v>14.4230769230769</v>
      </c>
      <c r="O32" s="15">
        <f>' B2级比赛 '!O32*5</f>
        <v>13.3928571428571</v>
      </c>
      <c r="P32" s="12">
        <f>' B2级比赛 '!P32*5</f>
        <v>12.5</v>
      </c>
      <c r="Q32" s="12">
        <f>' B2级比赛 '!Q32*5</f>
        <v>11.71875</v>
      </c>
      <c r="R32" s="12">
        <f>' B2级比赛 '!R32*5</f>
        <v>11.0294117647059</v>
      </c>
      <c r="S32" s="12">
        <f>' B2级比赛 '!S32*5</f>
        <v>10.4166666666667</v>
      </c>
      <c r="T32" s="12">
        <f>' B2级比赛 '!T32*5</f>
        <v>9.86842105263158</v>
      </c>
      <c r="U32" s="12">
        <f>' B2级比赛 '!U32*5</f>
        <v>9.375</v>
      </c>
      <c r="V32" s="12">
        <f>' B2级比赛 '!V32*5</f>
        <v>8.92857142857143</v>
      </c>
      <c r="W32" s="12">
        <f>' B2级比赛 '!W32*5</f>
        <v>8.52272727272727</v>
      </c>
      <c r="X32" s="12">
        <f>' B2级比赛 '!X32*5</f>
        <v>8.15217391304348</v>
      </c>
      <c r="Y32" s="12">
        <f>' B2级比赛 '!Y32*5</f>
        <v>7.8125</v>
      </c>
      <c r="Z32" s="12">
        <f>' B2级比赛 '!Z32*5</f>
        <v>7.5</v>
      </c>
      <c r="AA32" s="12">
        <f>' B2级比赛 '!AA32*5</f>
        <v>7.21153846153846</v>
      </c>
      <c r="AB32" s="12">
        <f>' B2级比赛 '!AB32*5</f>
        <v>6.94444444444444</v>
      </c>
      <c r="AC32" s="12">
        <f>' B2级比赛 '!AC32*5</f>
        <v>6.69642857142857</v>
      </c>
      <c r="AD32" s="12">
        <f>' B2级比赛 '!AD32*5</f>
        <v>6.46551724137931</v>
      </c>
      <c r="AE32" s="12">
        <f>' B2级比赛 '!AE32*5</f>
        <v>6.25</v>
      </c>
      <c r="AF32" s="12">
        <f>' B2级比赛 '!AF32*5</f>
        <v>6.04838709677419</v>
      </c>
      <c r="AG32" s="12">
        <f>' B2级比赛 '!AG32*5</f>
        <v>5.859375</v>
      </c>
      <c r="AH32" s="13">
        <f>' B2级比赛 '!AH32*5</f>
        <v>848.467849144348</v>
      </c>
      <c r="AI32" s="14">
        <f>' B2级比赛 '!AI32*5</f>
        <v>7.85618378837359</v>
      </c>
      <c r="AJ32" s="12"/>
      <c r="AK32" s="12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23"/>
      <c r="BO32" s="23"/>
      <c r="BP32" s="23"/>
      <c r="BQ32" s="23"/>
      <c r="BR32" s="23"/>
      <c r="BS32" s="23"/>
      <c r="BT32" s="23"/>
      <c r="BU32" s="2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>
      <c r="A33" s="11" t="s">
        <v>95</v>
      </c>
      <c r="B33" s="12">
        <f>' B2级比赛 '!B33*5</f>
        <v>197.5</v>
      </c>
      <c r="C33" s="12">
        <f>' B2级比赛 '!C33*5</f>
        <v>138.25</v>
      </c>
      <c r="D33" s="15">
        <f>' B2级比赛 '!D33*5</f>
        <v>98.75</v>
      </c>
      <c r="E33" s="15">
        <f>' B2级比赛 '!E33*5</f>
        <v>69.125</v>
      </c>
      <c r="F33" s="15">
        <f>' B2级比赛 '!F33*5</f>
        <v>39.5</v>
      </c>
      <c r="G33" s="15">
        <f>' B2级比赛 '!G33*5</f>
        <v>32.9166666666667</v>
      </c>
      <c r="H33" s="15">
        <f>' B2级比赛 '!H33*5</f>
        <v>28.2142857142857</v>
      </c>
      <c r="I33" s="15">
        <f>' B2级比赛 '!I33*5</f>
        <v>24.6875</v>
      </c>
      <c r="J33" s="15">
        <f>' B2级比赛 '!J33*5</f>
        <v>21.9444444444444</v>
      </c>
      <c r="K33" s="15">
        <f>' B2级比赛 '!K33*5</f>
        <v>19.75</v>
      </c>
      <c r="L33" s="15">
        <f>' B2级比赛 '!L33*5</f>
        <v>17.9545454545455</v>
      </c>
      <c r="M33" s="15">
        <f>' B2级比赛 '!M33*5</f>
        <v>16.4583333333333</v>
      </c>
      <c r="N33" s="15">
        <f>' B2级比赛 '!N33*5</f>
        <v>15.1923076923077</v>
      </c>
      <c r="O33" s="15">
        <f>' B2级比赛 '!O33*5</f>
        <v>14.1071428571429</v>
      </c>
      <c r="P33" s="12">
        <f>' B2级比赛 '!P33*5</f>
        <v>13.1666666666667</v>
      </c>
      <c r="Q33" s="12">
        <f>' B2级比赛 '!Q33*5</f>
        <v>12.34375</v>
      </c>
      <c r="R33" s="12">
        <f>' B2级比赛 '!R33*5</f>
        <v>11.6176470588235</v>
      </c>
      <c r="S33" s="12">
        <f>' B2级比赛 '!S33*5</f>
        <v>10.9722222222222</v>
      </c>
      <c r="T33" s="12">
        <f>' B2级比赛 '!T33*5</f>
        <v>10.3947368421053</v>
      </c>
      <c r="U33" s="12">
        <f>' B2级比赛 '!U33*5</f>
        <v>9.875</v>
      </c>
      <c r="V33" s="12">
        <f>' B2级比赛 '!V33*5</f>
        <v>9.40476190476191</v>
      </c>
      <c r="W33" s="12">
        <f>' B2级比赛 '!W33*5</f>
        <v>8.97727272727273</v>
      </c>
      <c r="X33" s="12">
        <f>' B2级比赛 '!X33*5</f>
        <v>8.58695652173913</v>
      </c>
      <c r="Y33" s="12">
        <f>' B2级比赛 '!Y33*5</f>
        <v>8.22916666666667</v>
      </c>
      <c r="Z33" s="12">
        <f>' B2级比赛 '!Z33*5</f>
        <v>7.9</v>
      </c>
      <c r="AA33" s="12">
        <f>' B2级比赛 '!AA33*5</f>
        <v>7.59615384615385</v>
      </c>
      <c r="AB33" s="12">
        <f>' B2级比赛 '!AB33*5</f>
        <v>7.31481481481481</v>
      </c>
      <c r="AC33" s="12">
        <f>' B2级比赛 '!AC33*5</f>
        <v>7.05357142857143</v>
      </c>
      <c r="AD33" s="12">
        <f>' B2级比赛 '!AD33*5</f>
        <v>6.81034482758621</v>
      </c>
      <c r="AE33" s="12">
        <f>' B2级比赛 '!AE33*5</f>
        <v>6.58333333333333</v>
      </c>
      <c r="AF33" s="12">
        <f>' B2级比赛 '!AF33*5</f>
        <v>6.37096774193548</v>
      </c>
      <c r="AG33" s="12">
        <f>' B2级比赛 '!AG33*5</f>
        <v>6.171875</v>
      </c>
      <c r="AH33" s="12">
        <f>' B2级比赛 '!AH33*5</f>
        <v>5.98484848484849</v>
      </c>
      <c r="AI33" s="12">
        <f>' B2级比赛 '!AI33*5</f>
        <v>5.80882352941177</v>
      </c>
      <c r="AJ33" s="13">
        <f>' B2级比赛 '!AJ33*5</f>
        <v>905.513139779639</v>
      </c>
      <c r="AK33" s="14">
        <f>' B2级比赛 '!AK33*5</f>
        <v>7.87402730243165</v>
      </c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23"/>
      <c r="BO33" s="23"/>
      <c r="BP33" s="23"/>
      <c r="BQ33" s="23"/>
      <c r="BR33" s="23"/>
      <c r="BS33" s="23"/>
      <c r="BT33" s="23"/>
      <c r="BU33" s="2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>
      <c r="A34" s="11" t="s">
        <v>96</v>
      </c>
      <c r="B34" s="12">
        <f>' B2级比赛 '!B34*5</f>
        <v>202.5</v>
      </c>
      <c r="C34" s="12">
        <f>' B2级比赛 '!C34*5</f>
        <v>141.75</v>
      </c>
      <c r="D34" s="15">
        <f>' B2级比赛 '!D34*5</f>
        <v>101.25</v>
      </c>
      <c r="E34" s="15">
        <f>' B2级比赛 '!E34*5</f>
        <v>70.875</v>
      </c>
      <c r="F34" s="15">
        <f>' B2级比赛 '!F34*5</f>
        <v>40.5</v>
      </c>
      <c r="G34" s="15">
        <f>' B2级比赛 '!G34*5</f>
        <v>33.75</v>
      </c>
      <c r="H34" s="15">
        <f>' B2级比赛 '!H34*5</f>
        <v>28.9285714285714</v>
      </c>
      <c r="I34" s="15">
        <f>' B2级比赛 '!I34*5</f>
        <v>25.3125</v>
      </c>
      <c r="J34" s="15">
        <f>' B2级比赛 '!J34*5</f>
        <v>22.5</v>
      </c>
      <c r="K34" s="15">
        <f>' B2级比赛 '!K34*5</f>
        <v>20.25</v>
      </c>
      <c r="L34" s="15">
        <f>' B2级比赛 '!L34*5</f>
        <v>18.4090909090909</v>
      </c>
      <c r="M34" s="15">
        <f>' B2级比赛 '!M34*5</f>
        <v>16.875</v>
      </c>
      <c r="N34" s="15">
        <f>' B2级比赛 '!N34*5</f>
        <v>15.5769230769231</v>
      </c>
      <c r="O34" s="15">
        <f>' B2级比赛 '!O34*5</f>
        <v>14.4642857142857</v>
      </c>
      <c r="P34" s="12">
        <f>' B2级比赛 '!P34*5</f>
        <v>13.5</v>
      </c>
      <c r="Q34" s="12">
        <f>' B2级比赛 '!Q34*5</f>
        <v>12.65625</v>
      </c>
      <c r="R34" s="12">
        <f>' B2级比赛 '!R34*5</f>
        <v>11.9117647058824</v>
      </c>
      <c r="S34" s="12">
        <f>' B2级比赛 '!S34*5</f>
        <v>11.25</v>
      </c>
      <c r="T34" s="12">
        <f>' B2级比赛 '!T34*5</f>
        <v>10.6578947368421</v>
      </c>
      <c r="U34" s="12">
        <f>' B2级比赛 '!U34*5</f>
        <v>10.125</v>
      </c>
      <c r="V34" s="12">
        <f>' B2级比赛 '!V34*5</f>
        <v>9.64285714285714</v>
      </c>
      <c r="W34" s="12">
        <f>' B2级比赛 '!W34*5</f>
        <v>9.20454545454545</v>
      </c>
      <c r="X34" s="12">
        <f>' B2级比赛 '!X34*5</f>
        <v>8.80434782608696</v>
      </c>
      <c r="Y34" s="12">
        <f>' B2级比赛 '!Y34*5</f>
        <v>8.4375</v>
      </c>
      <c r="Z34" s="12">
        <f>' B2级比赛 '!Z34*5</f>
        <v>8.1</v>
      </c>
      <c r="AA34" s="12">
        <f>' B2级比赛 '!AA34*5</f>
        <v>7.78846153846154</v>
      </c>
      <c r="AB34" s="12">
        <f>' B2级比赛 '!AB34*5</f>
        <v>7.5</v>
      </c>
      <c r="AC34" s="12">
        <f>' B2级比赛 '!AC34*5</f>
        <v>7.23214285714286</v>
      </c>
      <c r="AD34" s="12">
        <f>' B2级比赛 '!AD34*5</f>
        <v>6.98275862068965</v>
      </c>
      <c r="AE34" s="12">
        <f>' B2级比赛 '!AE34*5</f>
        <v>6.75</v>
      </c>
      <c r="AF34" s="12">
        <f>' B2级比赛 '!AF34*5</f>
        <v>6.53225806451613</v>
      </c>
      <c r="AG34" s="12">
        <f>' B2级比赛 '!AG34*5</f>
        <v>6.328125</v>
      </c>
      <c r="AH34" s="12">
        <f>' B2级比赛 '!AH34*5</f>
        <v>6.13636363636364</v>
      </c>
      <c r="AI34" s="12">
        <f>' B2级比赛 '!AI34*5</f>
        <v>5.95588235294118</v>
      </c>
      <c r="AJ34" s="12">
        <f>' B2级比赛 '!AJ34*5</f>
        <v>5.78571428571429</v>
      </c>
      <c r="AK34" s="13">
        <f>' B2级比赛 '!AK34*5</f>
        <v>934.223237350915</v>
      </c>
      <c r="AL34" s="20">
        <f>' B2级比赛 '!AL34*5</f>
        <v>7.91714607924504</v>
      </c>
      <c r="AM34" s="18"/>
      <c r="AN34" s="18"/>
      <c r="AO34" s="18"/>
      <c r="AP34" s="18">
        <f>' B2级比赛 '!AP34*5</f>
        <v>0</v>
      </c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23"/>
      <c r="BO34" s="23"/>
      <c r="BP34" s="23"/>
      <c r="BQ34" s="23"/>
      <c r="BR34" s="23"/>
      <c r="BS34" s="23"/>
      <c r="BT34" s="23"/>
      <c r="BU34" s="2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>
      <c r="A35" s="11" t="s">
        <v>97</v>
      </c>
      <c r="B35" s="12">
        <f>' B2级比赛 '!B35*5</f>
        <v>212.5</v>
      </c>
      <c r="C35" s="12">
        <f>' B2级比赛 '!C35*5</f>
        <v>148.75</v>
      </c>
      <c r="D35" s="15">
        <f>' B2级比赛 '!D35*5</f>
        <v>106.25</v>
      </c>
      <c r="E35" s="15">
        <f>' B2级比赛 '!E35*5</f>
        <v>74.375</v>
      </c>
      <c r="F35" s="15">
        <f>' B2级比赛 '!F35*5</f>
        <v>42.5</v>
      </c>
      <c r="G35" s="15">
        <f>' B2级比赛 '!G35*5</f>
        <v>35.4166666666667</v>
      </c>
      <c r="H35" s="15">
        <f>' B2级比赛 '!H35*5</f>
        <v>30.3571428571429</v>
      </c>
      <c r="I35" s="15">
        <f>' B2级比赛 '!I35*5</f>
        <v>26.5625</v>
      </c>
      <c r="J35" s="15">
        <f>' B2级比赛 '!J35*5</f>
        <v>23.6111111111111</v>
      </c>
      <c r="K35" s="15">
        <f>' B2级比赛 '!K35*5</f>
        <v>21.25</v>
      </c>
      <c r="L35" s="15">
        <f>' B2级比赛 '!L35*5</f>
        <v>19.3181818181818</v>
      </c>
      <c r="M35" s="15">
        <f>' B2级比赛 '!M35*5</f>
        <v>17.7083333333333</v>
      </c>
      <c r="N35" s="15">
        <f>' B2级比赛 '!N35*5</f>
        <v>16.3461538461538</v>
      </c>
      <c r="O35" s="15">
        <f>' B2级比赛 '!O35*5</f>
        <v>15.1785714285714</v>
      </c>
      <c r="P35" s="12">
        <f>' B2级比赛 '!P35*5</f>
        <v>14.1666666666667</v>
      </c>
      <c r="Q35" s="12">
        <f>' B2级比赛 '!Q35*5</f>
        <v>13.28125</v>
      </c>
      <c r="R35" s="12">
        <f>' B2级比赛 '!R35*5</f>
        <v>12.5</v>
      </c>
      <c r="S35" s="12">
        <f>' B2级比赛 '!S35*5</f>
        <v>11.8055555555556</v>
      </c>
      <c r="T35" s="12">
        <f>' B2级比赛 '!T35*5</f>
        <v>11.1842105263158</v>
      </c>
      <c r="U35" s="12">
        <f>' B2级比赛 '!U35*5</f>
        <v>10.625</v>
      </c>
      <c r="V35" s="12">
        <f>' B2级比赛 '!V35*5</f>
        <v>10.1190476190476</v>
      </c>
      <c r="W35" s="12">
        <f>' B2级比赛 '!W35*5</f>
        <v>9.65909090909091</v>
      </c>
      <c r="X35" s="12">
        <f>' B2级比赛 '!X35*5</f>
        <v>9.23913043478261</v>
      </c>
      <c r="Y35" s="12">
        <f>' B2级比赛 '!Y35*5</f>
        <v>8.85416666666667</v>
      </c>
      <c r="Z35" s="12">
        <f>' B2级比赛 '!Z35*5</f>
        <v>8.5</v>
      </c>
      <c r="AA35" s="12">
        <f>' B2级比赛 '!AA35*5</f>
        <v>8.17307692307692</v>
      </c>
      <c r="AB35" s="12">
        <f>' B2级比赛 '!AB35*5</f>
        <v>7.87037037037037</v>
      </c>
      <c r="AC35" s="12">
        <f>' B2级比赛 '!AC35*5</f>
        <v>7.58928571428571</v>
      </c>
      <c r="AD35" s="12">
        <f>' B2级比赛 '!AD35*5</f>
        <v>7.32758620689655</v>
      </c>
      <c r="AE35" s="12">
        <f>' B2级比赛 '!AE35*5</f>
        <v>7.08333333333333</v>
      </c>
      <c r="AF35" s="12">
        <f>' B2级比赛 '!AF35*5</f>
        <v>6.85483870967742</v>
      </c>
      <c r="AG35" s="12">
        <f>' B2级比赛 '!AG35*5</f>
        <v>6.640625</v>
      </c>
      <c r="AH35" s="12">
        <f>' B2级比赛 '!AH35*5</f>
        <v>6.43939393939394</v>
      </c>
      <c r="AI35" s="12">
        <f>' B2级比赛 '!AI35*5</f>
        <v>6.25</v>
      </c>
      <c r="AJ35" s="12">
        <f>' B2级比赛 '!AJ35*5</f>
        <v>6.07142857142857</v>
      </c>
      <c r="AK35" s="12">
        <f>' B2级比赛 '!AK35*5</f>
        <v>5.90277777777778</v>
      </c>
      <c r="AL35" s="12">
        <f>' B2级比赛 '!AL35*5</f>
        <v>5.74324324324324</v>
      </c>
      <c r="AM35" s="21">
        <f>' B2级比赛 '!AM35*5</f>
        <v>992.003739228771</v>
      </c>
      <c r="AN35" s="20">
        <f>' B2级比赛 '!AN35*5</f>
        <v>8.00003015507073</v>
      </c>
      <c r="AO35" s="18"/>
      <c r="AP35" s="18">
        <f>' B2级比赛 '!AP35*5</f>
        <v>0</v>
      </c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23"/>
      <c r="BO35" s="23"/>
      <c r="BP35" s="23"/>
      <c r="BQ35" s="23"/>
      <c r="BR35" s="23"/>
      <c r="BS35" s="23"/>
      <c r="BT35" s="23"/>
      <c r="BU35" s="2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>
      <c r="A36" s="11" t="s">
        <v>98</v>
      </c>
      <c r="B36" s="12">
        <f>' B2级比赛 '!B36*5</f>
        <v>221</v>
      </c>
      <c r="C36" s="12">
        <f>' B2级比赛 '!C36*5</f>
        <v>154.7</v>
      </c>
      <c r="D36" s="15">
        <f>' B2级比赛 '!D36*5</f>
        <v>110.5</v>
      </c>
      <c r="E36" s="15">
        <f>' B2级比赛 '!E36*5</f>
        <v>77.35</v>
      </c>
      <c r="F36" s="15">
        <f>' B2级比赛 '!F36*5</f>
        <v>44.2</v>
      </c>
      <c r="G36" s="15">
        <f>' B2级比赛 '!G36*5</f>
        <v>36.8333333333333</v>
      </c>
      <c r="H36" s="15">
        <f>' B2级比赛 '!H36*5</f>
        <v>31.5714285714286</v>
      </c>
      <c r="I36" s="15">
        <f>' B2级比赛 '!I36*5</f>
        <v>27.625</v>
      </c>
      <c r="J36" s="15">
        <f>' B2级比赛 '!J36*5</f>
        <v>24.5555555555556</v>
      </c>
      <c r="K36" s="15">
        <f>' B2级比赛 '!K36*5</f>
        <v>22.1</v>
      </c>
      <c r="L36" s="15">
        <f>' B2级比赛 '!L36*5</f>
        <v>20.0909090909091</v>
      </c>
      <c r="M36" s="15">
        <f>' B2级比赛 '!M36*5</f>
        <v>18.4166666666667</v>
      </c>
      <c r="N36" s="15">
        <f>' B2级比赛 '!N36*5</f>
        <v>17</v>
      </c>
      <c r="O36" s="15">
        <f>' B2级比赛 '!O36*5</f>
        <v>15.7857142857143</v>
      </c>
      <c r="P36" s="12">
        <f>' B2级比赛 '!P36*5</f>
        <v>14.7333333333333</v>
      </c>
      <c r="Q36" s="12">
        <f>' B2级比赛 '!Q36*5</f>
        <v>13.8125</v>
      </c>
      <c r="R36" s="12">
        <f>' B2级比赛 '!R36*5</f>
        <v>13</v>
      </c>
      <c r="S36" s="12">
        <f>' B2级比赛 '!S36*5</f>
        <v>12.2777777777778</v>
      </c>
      <c r="T36" s="12">
        <f>' B2级比赛 '!T36*5</f>
        <v>11.6315789473684</v>
      </c>
      <c r="U36" s="12">
        <f>' B2级比赛 '!U36*5</f>
        <v>11.05</v>
      </c>
      <c r="V36" s="12">
        <f>' B2级比赛 '!V36*5</f>
        <v>10.5238095238095</v>
      </c>
      <c r="W36" s="12">
        <f>' B2级比赛 '!W36*5</f>
        <v>10.0454545454545</v>
      </c>
      <c r="X36" s="12">
        <f>' B2级比赛 '!X36*5</f>
        <v>9.60869565217391</v>
      </c>
      <c r="Y36" s="12">
        <f>' B2级比赛 '!Y36*5</f>
        <v>9.20833333333333</v>
      </c>
      <c r="Z36" s="12">
        <f>' B2级比赛 '!Z36*5</f>
        <v>8.84</v>
      </c>
      <c r="AA36" s="12">
        <f>' B2级比赛 '!AA36*5</f>
        <v>8.5</v>
      </c>
      <c r="AB36" s="12">
        <f>' B2级比赛 '!AB36*5</f>
        <v>8.18518518518519</v>
      </c>
      <c r="AC36" s="12">
        <f>' B2级比赛 '!AC36*5</f>
        <v>7.89285714285714</v>
      </c>
      <c r="AD36" s="12">
        <f>' B2级比赛 '!AD36*5</f>
        <v>7.62068965517241</v>
      </c>
      <c r="AE36" s="12">
        <f>' B2级比赛 '!AE36*5</f>
        <v>7.36666666666667</v>
      </c>
      <c r="AF36" s="12">
        <f>' B2级比赛 '!AF36*5</f>
        <v>7.12903225806452</v>
      </c>
      <c r="AG36" s="12">
        <f>' B2级比赛 '!AG36*5</f>
        <v>6.90625</v>
      </c>
      <c r="AH36" s="12">
        <f>' B2级比赛 '!AH36*5</f>
        <v>6.6969696969697</v>
      </c>
      <c r="AI36" s="12">
        <f>' B2级比赛 '!AI36*5</f>
        <v>6.5</v>
      </c>
      <c r="AJ36" s="12">
        <f>' B2级比赛 '!AJ36*5</f>
        <v>6.31428571428571</v>
      </c>
      <c r="AK36" s="12">
        <f>' B2级比赛 '!AK36*5</f>
        <v>6.13888888888889</v>
      </c>
      <c r="AL36" s="12">
        <f>' B2级比赛 '!AL36*5</f>
        <v>5.97297297297297</v>
      </c>
      <c r="AM36" s="12">
        <f>' B2级比赛 '!AM36*5</f>
        <v>5.81578947368421</v>
      </c>
      <c r="AN36" s="21">
        <f>' B2级比赛 '!AN36*5</f>
        <v>1037.49967827161</v>
      </c>
      <c r="AO36" s="20">
        <f>' B2级比赛 '!AO36*5</f>
        <v>8.04263316489617</v>
      </c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23"/>
      <c r="BO36" s="23"/>
      <c r="BP36" s="23"/>
      <c r="BQ36" s="23"/>
      <c r="BR36" s="23"/>
      <c r="BS36" s="23"/>
      <c r="BT36" s="23"/>
      <c r="BU36" s="2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>
      <c r="A37" s="11" t="s">
        <v>99</v>
      </c>
      <c r="B37" s="12">
        <f>' B2级比赛 '!B37*5</f>
        <v>226</v>
      </c>
      <c r="C37" s="12">
        <f>' B2级比赛 '!C37*5</f>
        <v>158.2</v>
      </c>
      <c r="D37" s="15">
        <f>' B2级比赛 '!D37*5</f>
        <v>113</v>
      </c>
      <c r="E37" s="15">
        <f>' B2级比赛 '!E37*5</f>
        <v>79.1</v>
      </c>
      <c r="F37" s="15">
        <f>' B2级比赛 '!F37*5</f>
        <v>45.2</v>
      </c>
      <c r="G37" s="15">
        <f>' B2级比赛 '!G37*5</f>
        <v>37.6666666666667</v>
      </c>
      <c r="H37" s="15">
        <f>' B2级比赛 '!H37*5</f>
        <v>32.2857142857143</v>
      </c>
      <c r="I37" s="15">
        <f>' B2级比赛 '!I37*5</f>
        <v>28.25</v>
      </c>
      <c r="J37" s="15">
        <f>' B2级比赛 '!J37*5</f>
        <v>25.1111111111111</v>
      </c>
      <c r="K37" s="15">
        <f>' B2级比赛 '!K37*5</f>
        <v>22.6</v>
      </c>
      <c r="L37" s="15">
        <f>' B2级比赛 '!L37*5</f>
        <v>20.5454545454545</v>
      </c>
      <c r="M37" s="15">
        <f>' B2级比赛 '!M37*5</f>
        <v>18.8333333333333</v>
      </c>
      <c r="N37" s="15">
        <f>' B2级比赛 '!N37*5</f>
        <v>17.3846153846154</v>
      </c>
      <c r="O37" s="15">
        <f>' B2级比赛 '!O37*5</f>
        <v>16.1428571428571</v>
      </c>
      <c r="P37" s="12">
        <f>' B2级比赛 '!P37*5</f>
        <v>15.0666666666667</v>
      </c>
      <c r="Q37" s="12">
        <f>' B2级比赛 '!Q37*5</f>
        <v>14.125</v>
      </c>
      <c r="R37" s="12">
        <f>' B2级比赛 '!R37*5</f>
        <v>13.2941176470588</v>
      </c>
      <c r="S37" s="12">
        <f>' B2级比赛 '!S37*5</f>
        <v>12.5555555555556</v>
      </c>
      <c r="T37" s="12">
        <f>' B2级比赛 '!T37*5</f>
        <v>11.8947368421053</v>
      </c>
      <c r="U37" s="12">
        <f>' B2级比赛 '!U37*5</f>
        <v>11.3</v>
      </c>
      <c r="V37" s="12">
        <f>' B2级比赛 '!V37*5</f>
        <v>10.7619047619048</v>
      </c>
      <c r="W37" s="12">
        <f>' B2级比赛 '!W37*5</f>
        <v>10.2727272727273</v>
      </c>
      <c r="X37" s="12">
        <f>' B2级比赛 '!X37*5</f>
        <v>9.82608695652174</v>
      </c>
      <c r="Y37" s="12">
        <f>' B2级比赛 '!Y37*5</f>
        <v>9.41666666666667</v>
      </c>
      <c r="Z37" s="12">
        <f>' B2级比赛 '!Z37*5</f>
        <v>9.04</v>
      </c>
      <c r="AA37" s="12">
        <f>' B2级比赛 '!AA37*5</f>
        <v>8.69230769230769</v>
      </c>
      <c r="AB37" s="12">
        <f>' B2级比赛 '!AB37*5</f>
        <v>8.37037037037037</v>
      </c>
      <c r="AC37" s="12">
        <f>' B2级比赛 '!AC37*5</f>
        <v>8.07142857142857</v>
      </c>
      <c r="AD37" s="12">
        <f>' B2级比赛 '!AD37*5</f>
        <v>7.79310344827586</v>
      </c>
      <c r="AE37" s="12">
        <f>' B2级比赛 '!AE37*5</f>
        <v>7.53333333333333</v>
      </c>
      <c r="AF37" s="12">
        <f>' B2级比赛 '!AF37*5</f>
        <v>7.29032258064516</v>
      </c>
      <c r="AG37" s="12">
        <f>' B2级比赛 '!AG37*5</f>
        <v>7.0625</v>
      </c>
      <c r="AH37" s="12">
        <f>' B2级比赛 '!AH37*5</f>
        <v>6.84848484848485</v>
      </c>
      <c r="AI37" s="12">
        <f>' B2级比赛 '!AI37*5</f>
        <v>6.64705882352941</v>
      </c>
      <c r="AJ37" s="12">
        <f>' B2级比赛 '!AJ37*5</f>
        <v>6.45714285714286</v>
      </c>
      <c r="AK37" s="12">
        <f>' B2级比赛 '!AK37*5</f>
        <v>6.27777777777778</v>
      </c>
      <c r="AL37" s="12">
        <f>' B2级比赛 '!AL37*5</f>
        <v>6.10810810810811</v>
      </c>
      <c r="AM37" s="12">
        <f>' B2级比赛 '!AM37*5</f>
        <v>5.94736842105263</v>
      </c>
      <c r="AN37" s="12">
        <f>' B2级比赛 '!AN37*5</f>
        <v>5.7948717948718</v>
      </c>
      <c r="AO37" s="12">
        <f>' B2级比赛 '!AO37*5</f>
        <v>5.65</v>
      </c>
      <c r="AP37" s="21">
        <f>' B2级比赛 '!AP37*5</f>
        <v>1072.41739346629</v>
      </c>
      <c r="AQ37" s="20">
        <f>' B2级比赛 '!AQ37*5</f>
        <v>8.00311487661409</v>
      </c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23"/>
      <c r="BO37" s="23"/>
      <c r="BP37" s="23"/>
      <c r="BQ37" s="23"/>
      <c r="BR37" s="23"/>
      <c r="BS37" s="23"/>
      <c r="BT37" s="23"/>
      <c r="BU37" s="2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>
      <c r="A38" s="11" t="s">
        <v>100</v>
      </c>
      <c r="B38" s="12">
        <f>' B2级比赛 '!B38*5</f>
        <v>232.5</v>
      </c>
      <c r="C38" s="12">
        <f>' B2级比赛 '!C38*5</f>
        <v>162.75</v>
      </c>
      <c r="D38" s="15">
        <f>' B2级比赛 '!D38*5</f>
        <v>116.25</v>
      </c>
      <c r="E38" s="15">
        <f>' B2级比赛 '!E38*5</f>
        <v>81.375</v>
      </c>
      <c r="F38" s="15">
        <f>' B2级比赛 '!F38*5</f>
        <v>46.5</v>
      </c>
      <c r="G38" s="15">
        <f>' B2级比赛 '!G38*5</f>
        <v>38.75</v>
      </c>
      <c r="H38" s="15">
        <f>' B2级比赛 '!H38*5</f>
        <v>33.2142857142857</v>
      </c>
      <c r="I38" s="15">
        <f>' B2级比赛 '!I38*5</f>
        <v>29.0625</v>
      </c>
      <c r="J38" s="15">
        <f>' B2级比赛 '!J38*5</f>
        <v>25.8333333333333</v>
      </c>
      <c r="K38" s="15">
        <f>' B2级比赛 '!K38*5</f>
        <v>23.25</v>
      </c>
      <c r="L38" s="15">
        <f>' B2级比赛 '!L38*5</f>
        <v>21.1363636363636</v>
      </c>
      <c r="M38" s="15">
        <f>' B2级比赛 '!M38*5</f>
        <v>19.375</v>
      </c>
      <c r="N38" s="15">
        <f>' B2级比赛 '!N38*5</f>
        <v>17.8846153846154</v>
      </c>
      <c r="O38" s="15">
        <f>' B2级比赛 '!O38*5</f>
        <v>16.6071428571429</v>
      </c>
      <c r="P38" s="12">
        <f>' B2级比赛 '!P38*5</f>
        <v>15.5</v>
      </c>
      <c r="Q38" s="12">
        <f>' B2级比赛 '!Q38*5</f>
        <v>14.53125</v>
      </c>
      <c r="R38" s="12">
        <f>' B2级比赛 '!R38*5</f>
        <v>13.6764705882353</v>
      </c>
      <c r="S38" s="12">
        <f>' B2级比赛 '!S38*5</f>
        <v>12.9166666666667</v>
      </c>
      <c r="T38" s="12">
        <f>' B2级比赛 '!T38*5</f>
        <v>12.2368421052632</v>
      </c>
      <c r="U38" s="12">
        <f>' B2级比赛 '!U38*5</f>
        <v>11.625</v>
      </c>
      <c r="V38" s="12">
        <f>' B2级比赛 '!V38*5</f>
        <v>11.0714285714286</v>
      </c>
      <c r="W38" s="12">
        <f>' B2级比赛 '!W38*5</f>
        <v>10.5681818181818</v>
      </c>
      <c r="X38" s="12">
        <f>' B2级比赛 '!X38*5</f>
        <v>10.1086956521739</v>
      </c>
      <c r="Y38" s="12">
        <f>' B2级比赛 '!Y38*5</f>
        <v>9.6875</v>
      </c>
      <c r="Z38" s="12">
        <f>' B2级比赛 '!Z38*5</f>
        <v>9.3</v>
      </c>
      <c r="AA38" s="12">
        <f>' B2级比赛 '!AA38*5</f>
        <v>8.94230769230769</v>
      </c>
      <c r="AB38" s="12">
        <f>' B2级比赛 '!AB38*5</f>
        <v>8.61111111111111</v>
      </c>
      <c r="AC38" s="12">
        <f>' B2级比赛 '!AC38*5</f>
        <v>8.30357142857143</v>
      </c>
      <c r="AD38" s="12">
        <f>' B2级比赛 '!AD38*5</f>
        <v>8.01724137931035</v>
      </c>
      <c r="AE38" s="12">
        <f>' B2级比赛 '!AE38*5</f>
        <v>7.75</v>
      </c>
      <c r="AF38" s="12">
        <f>' B2级比赛 '!AF38*5</f>
        <v>7.5</v>
      </c>
      <c r="AG38" s="12">
        <f>' B2级比赛 '!AG38*5</f>
        <v>7.265625</v>
      </c>
      <c r="AH38" s="12">
        <f>' B2级比赛 '!AH38*5</f>
        <v>7.04545454545455</v>
      </c>
      <c r="AI38" s="12">
        <f>' B2级比赛 '!AI38*5</f>
        <v>6.83823529411765</v>
      </c>
      <c r="AJ38" s="12">
        <f>' B2级比赛 '!AJ38*5</f>
        <v>6.64285714285714</v>
      </c>
      <c r="AK38" s="12">
        <f>' B2级比赛 '!AK38*5</f>
        <v>6.45833333333333</v>
      </c>
      <c r="AL38" s="12">
        <f>' B2级比赛 '!AL38*5</f>
        <v>6.28378378378378</v>
      </c>
      <c r="AM38" s="12">
        <f>' B2级比赛 '!AM38*5</f>
        <v>6.11842105263158</v>
      </c>
      <c r="AN38" s="12">
        <f>' B2级比赛 '!AN38*5</f>
        <v>5.96153846153846</v>
      </c>
      <c r="AO38" s="12">
        <f>' B2级比赛 '!AO38*5</f>
        <v>5.8125</v>
      </c>
      <c r="AP38" s="12">
        <f>' B2级比赛 '!AP38*5</f>
        <v>5.67073170731707</v>
      </c>
      <c r="AQ38" s="21">
        <f>' B2级比赛 '!AQ38*5</f>
        <v>1108.93198826002</v>
      </c>
      <c r="AR38" s="20">
        <f>' B2级比赛 '!AR38*5</f>
        <v>7.9779279730937</v>
      </c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23"/>
      <c r="BO38" s="23"/>
      <c r="BP38" s="23"/>
      <c r="BQ38" s="23"/>
      <c r="BR38" s="23"/>
      <c r="BS38" s="23"/>
      <c r="BT38" s="23"/>
      <c r="BU38" s="2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>
      <c r="A39" s="11" t="s">
        <v>101</v>
      </c>
      <c r="B39" s="12">
        <f>' B2级比赛 '!B39*5</f>
        <v>240</v>
      </c>
      <c r="C39" s="12">
        <f>' B2级比赛 '!C39*5</f>
        <v>168</v>
      </c>
      <c r="D39" s="15">
        <f>' B2级比赛 '!D39*5</f>
        <v>120</v>
      </c>
      <c r="E39" s="15">
        <f>' B2级比赛 '!E39*5</f>
        <v>84</v>
      </c>
      <c r="F39" s="15">
        <f>' B2级比赛 '!F39*5</f>
        <v>48</v>
      </c>
      <c r="G39" s="15">
        <f>' B2级比赛 '!G39*5</f>
        <v>40</v>
      </c>
      <c r="H39" s="15">
        <f>' B2级比赛 '!H39*5</f>
        <v>34.2857142857143</v>
      </c>
      <c r="I39" s="15">
        <f>' B2级比赛 '!I39*5</f>
        <v>30</v>
      </c>
      <c r="J39" s="15">
        <f>' B2级比赛 '!J39*5</f>
        <v>26.6666666666667</v>
      </c>
      <c r="K39" s="15">
        <f>' B2级比赛 '!K39*5</f>
        <v>24</v>
      </c>
      <c r="L39" s="15">
        <f>' B2级比赛 '!L39*5</f>
        <v>21.8181818181818</v>
      </c>
      <c r="M39" s="15">
        <f>' B2级比赛 '!M39*5</f>
        <v>20</v>
      </c>
      <c r="N39" s="15">
        <f>' B2级比赛 '!N39*5</f>
        <v>18.4615384615385</v>
      </c>
      <c r="O39" s="15">
        <f>' B2级比赛 '!O39*5</f>
        <v>17.1428571428571</v>
      </c>
      <c r="P39" s="12">
        <f>' B2级比赛 '!P39*5</f>
        <v>16</v>
      </c>
      <c r="Q39" s="12">
        <f>' B2级比赛 '!Q39*5</f>
        <v>15</v>
      </c>
      <c r="R39" s="12">
        <f>' B2级比赛 '!R39*5</f>
        <v>14.1176470588235</v>
      </c>
      <c r="S39" s="12">
        <f>' B2级比赛 '!S39*5</f>
        <v>13.3333333333333</v>
      </c>
      <c r="T39" s="12">
        <f>' B2级比赛 '!T39*5</f>
        <v>12.6315789473684</v>
      </c>
      <c r="U39" s="12">
        <f>' B2级比赛 '!U39*5</f>
        <v>12</v>
      </c>
      <c r="V39" s="12">
        <f>' B2级比赛 '!V39*5</f>
        <v>11.4285714285714</v>
      </c>
      <c r="W39" s="12">
        <f>' B2级比赛 '!W39*5</f>
        <v>10.9090909090909</v>
      </c>
      <c r="X39" s="12">
        <f>' B2级比赛 '!X39*5</f>
        <v>10.4347826086957</v>
      </c>
      <c r="Y39" s="12">
        <f>' B2级比赛 '!Y39*5</f>
        <v>10</v>
      </c>
      <c r="Z39" s="12">
        <f>' B2级比赛 '!Z39*5</f>
        <v>9.6</v>
      </c>
      <c r="AA39" s="12">
        <f>' B2级比赛 '!AA39*5</f>
        <v>9.23076923076923</v>
      </c>
      <c r="AB39" s="12">
        <f>' B2级比赛 '!AB39*5</f>
        <v>8.88888888888889</v>
      </c>
      <c r="AC39" s="12">
        <f>' B2级比赛 '!AC39*5</f>
        <v>8.57142857142857</v>
      </c>
      <c r="AD39" s="12">
        <f>' B2级比赛 '!AD39*5</f>
        <v>8.27586206896552</v>
      </c>
      <c r="AE39" s="12">
        <f>' B2级比赛 '!AE39*5</f>
        <v>8</v>
      </c>
      <c r="AF39" s="12">
        <f>' B2级比赛 '!AF39*5</f>
        <v>7.74193548387097</v>
      </c>
      <c r="AG39" s="12">
        <f>' B2级比赛 '!AG39*5</f>
        <v>7.5</v>
      </c>
      <c r="AH39" s="12">
        <f>' B2级比赛 '!AH39*5</f>
        <v>7.27272727272727</v>
      </c>
      <c r="AI39" s="12">
        <f>' B2级比赛 '!AI39*5</f>
        <v>7.05882352941177</v>
      </c>
      <c r="AJ39" s="12">
        <f>' B2级比赛 '!AJ39*5</f>
        <v>6.85714285714286</v>
      </c>
      <c r="AK39" s="12">
        <f>' B2级比赛 '!AK39*5</f>
        <v>6.66666666666667</v>
      </c>
      <c r="AL39" s="12">
        <f>' B2级比赛 '!AL39*5</f>
        <v>6.48648648648649</v>
      </c>
      <c r="AM39" s="12">
        <f>' B2级比赛 '!AM39*5</f>
        <v>6.31578947368421</v>
      </c>
      <c r="AN39" s="12">
        <f>' B2级比赛 '!AN39*5</f>
        <v>6.15384615384615</v>
      </c>
      <c r="AO39" s="12">
        <f>' B2级比赛 '!AO39*5</f>
        <v>6</v>
      </c>
      <c r="AP39" s="12">
        <f>' B2级比赛 '!AP39*5</f>
        <v>5.85365853658537</v>
      </c>
      <c r="AQ39" s="12">
        <f>' B2级比赛 '!AQ39*5</f>
        <v>5.71428571428571</v>
      </c>
      <c r="AR39" s="12">
        <f>' B2级比赛 '!AR39*5</f>
        <v>5.58139534883721</v>
      </c>
      <c r="AS39" s="21">
        <f>' B2级比赛 '!AS39*5</f>
        <v>1155.99966894444</v>
      </c>
      <c r="AT39" s="20">
        <f>' B2级比赛 '!AT39*5</f>
        <v>8.02777547878082</v>
      </c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23"/>
      <c r="BO39" s="23"/>
      <c r="BP39" s="23"/>
      <c r="BQ39" s="23"/>
      <c r="BR39" s="23"/>
      <c r="BS39" s="23"/>
      <c r="BT39" s="23"/>
      <c r="BU39" s="2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>
      <c r="A40" s="11" t="s">
        <v>102</v>
      </c>
      <c r="B40" s="12">
        <f>' B2级比赛 '!B40*5</f>
        <v>247.5</v>
      </c>
      <c r="C40" s="12">
        <f>' B2级比赛 '!C40*5</f>
        <v>173.25</v>
      </c>
      <c r="D40" s="15">
        <f>' B2级比赛 '!D40*5</f>
        <v>123.75</v>
      </c>
      <c r="E40" s="15">
        <f>' B2级比赛 '!E40*5</f>
        <v>86.625</v>
      </c>
      <c r="F40" s="15">
        <f>' B2级比赛 '!F40*5</f>
        <v>49.5</v>
      </c>
      <c r="G40" s="15">
        <f>' B2级比赛 '!G40*5</f>
        <v>41.25</v>
      </c>
      <c r="H40" s="15">
        <f>' B2级比赛 '!H40*5</f>
        <v>35.3571428571429</v>
      </c>
      <c r="I40" s="15">
        <f>' B2级比赛 '!I40*5</f>
        <v>30.9375</v>
      </c>
      <c r="J40" s="15">
        <f>' B2级比赛 '!J40*5</f>
        <v>27.5</v>
      </c>
      <c r="K40" s="15">
        <f>' B2级比赛 '!K40*5</f>
        <v>24.75</v>
      </c>
      <c r="L40" s="15">
        <f>' B2级比赛 '!L40*5</f>
        <v>22.5</v>
      </c>
      <c r="M40" s="15">
        <f>' B2级比赛 '!M40*5</f>
        <v>20.625</v>
      </c>
      <c r="N40" s="15">
        <f>' B2级比赛 '!N40*5</f>
        <v>19.0384615384615</v>
      </c>
      <c r="O40" s="15">
        <f>' B2级比赛 '!O40*5</f>
        <v>17.6785714285714</v>
      </c>
      <c r="P40" s="12">
        <f>' B2级比赛 '!P40*5</f>
        <v>16.5</v>
      </c>
      <c r="Q40" s="12">
        <f>' B2级比赛 '!Q40*5</f>
        <v>15.46875</v>
      </c>
      <c r="R40" s="12">
        <f>' B2级比赛 '!R40*5</f>
        <v>14.5588235294118</v>
      </c>
      <c r="S40" s="12">
        <f>' B2级比赛 '!S40*5</f>
        <v>13.75</v>
      </c>
      <c r="T40" s="12">
        <f>' B2级比赛 '!T40*5</f>
        <v>13.0263157894737</v>
      </c>
      <c r="U40" s="12">
        <f>' B2级比赛 '!U40*5</f>
        <v>12.375</v>
      </c>
      <c r="V40" s="12">
        <f>' B2级比赛 '!V40*5</f>
        <v>11.7857142857143</v>
      </c>
      <c r="W40" s="12">
        <f>' B2级比赛 '!W40*5</f>
        <v>11.25</v>
      </c>
      <c r="X40" s="12">
        <f>' B2级比赛 '!X40*5</f>
        <v>10.7608695652174</v>
      </c>
      <c r="Y40" s="12">
        <f>' B2级比赛 '!Y40*5</f>
        <v>10.3125</v>
      </c>
      <c r="Z40" s="12">
        <f>' B2级比赛 '!Z40*5</f>
        <v>9.9</v>
      </c>
      <c r="AA40" s="12">
        <f>' B2级比赛 '!AA40*5</f>
        <v>9.51923076923077</v>
      </c>
      <c r="AB40" s="12">
        <f>' B2级比赛 '!AB40*5</f>
        <v>9.16666666666667</v>
      </c>
      <c r="AC40" s="12">
        <f>' B2级比赛 '!AC40*5</f>
        <v>8.83928571428571</v>
      </c>
      <c r="AD40" s="12">
        <f>' B2级比赛 '!AD40*5</f>
        <v>8.53448275862069</v>
      </c>
      <c r="AE40" s="12">
        <f>' B2级比赛 '!AE40*5</f>
        <v>8.25</v>
      </c>
      <c r="AF40" s="12">
        <f>' B2级比赛 '!AF40*5</f>
        <v>7.98387096774194</v>
      </c>
      <c r="AG40" s="12">
        <f>' B2级比赛 '!AG40*5</f>
        <v>7.734375</v>
      </c>
      <c r="AH40" s="12">
        <f>' B2级比赛 '!AH40*5</f>
        <v>7.5</v>
      </c>
      <c r="AI40" s="12">
        <f>' B2级比赛 '!AI40*5</f>
        <v>7.27941176470588</v>
      </c>
      <c r="AJ40" s="12">
        <f>' B2级比赛 '!AJ40*5</f>
        <v>7.07142857142857</v>
      </c>
      <c r="AK40" s="12">
        <f>' B2级比赛 '!AK40*5</f>
        <v>6.875</v>
      </c>
      <c r="AL40" s="12">
        <f>' B2级比赛 '!AL40*5</f>
        <v>6.68918918918919</v>
      </c>
      <c r="AM40" s="12">
        <f>' B2级比赛 '!AM40*5</f>
        <v>6.51315789473684</v>
      </c>
      <c r="AN40" s="12">
        <f>' B2级比赛 '!AN40*5</f>
        <v>6.34615384615385</v>
      </c>
      <c r="AO40" s="12">
        <f>' B2级比赛 '!AO40*5</f>
        <v>6.1875</v>
      </c>
      <c r="AP40" s="12">
        <f>' B2级比赛 '!AP40*5</f>
        <v>6.03658536585366</v>
      </c>
      <c r="AQ40" s="12">
        <f>' B2级比赛 '!AQ40*5</f>
        <v>5.89285714285714</v>
      </c>
      <c r="AR40" s="12">
        <f>' B2级比赛 '!AR40*5</f>
        <v>5.75581395348837</v>
      </c>
      <c r="AS40" s="12">
        <f>' B2级比赛 '!AS40*5</f>
        <v>5.625</v>
      </c>
      <c r="AT40" s="21">
        <f>' B2级比赛 '!AT40*5</f>
        <v>1197.74965859895</v>
      </c>
      <c r="AU40" s="20">
        <f>' B2级比赛 '!AU40*5</f>
        <v>8.03858831274465</v>
      </c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23"/>
      <c r="BO40" s="23"/>
      <c r="BP40" s="23"/>
      <c r="BQ40" s="23"/>
      <c r="BR40" s="23"/>
      <c r="BS40" s="23"/>
      <c r="BT40" s="23"/>
      <c r="BU40" s="2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>
      <c r="A41" s="11" t="s">
        <v>103</v>
      </c>
      <c r="B41" s="12">
        <f>' B2级比赛 '!B41*5</f>
        <v>254</v>
      </c>
      <c r="C41" s="12">
        <f>' B2级比赛 '!C41*5</f>
        <v>177.8</v>
      </c>
      <c r="D41" s="15">
        <f>' B2级比赛 '!D41*5</f>
        <v>127</v>
      </c>
      <c r="E41" s="15">
        <f>' B2级比赛 '!E41*5</f>
        <v>88.9</v>
      </c>
      <c r="F41" s="15">
        <f>' B2级比赛 '!F41*5</f>
        <v>50.8</v>
      </c>
      <c r="G41" s="15">
        <f>' B2级比赛 '!G41*5</f>
        <v>42.3333333333333</v>
      </c>
      <c r="H41" s="15">
        <f>' B2级比赛 '!H41*5</f>
        <v>36.2857142857143</v>
      </c>
      <c r="I41" s="15">
        <f>' B2级比赛 '!I41*5</f>
        <v>31.75</v>
      </c>
      <c r="J41" s="15">
        <f>' B2级比赛 '!J41*5</f>
        <v>28.2222222222222</v>
      </c>
      <c r="K41" s="15">
        <f>' B2级比赛 '!K41*5</f>
        <v>25.4</v>
      </c>
      <c r="L41" s="15">
        <f>' B2级比赛 '!L41*5</f>
        <v>23.0909090909091</v>
      </c>
      <c r="M41" s="15">
        <f>' B2级比赛 '!M41*5</f>
        <v>21.1666666666667</v>
      </c>
      <c r="N41" s="15">
        <f>' B2级比赛 '!N41*5</f>
        <v>19.5384615384615</v>
      </c>
      <c r="O41" s="15">
        <f>' B2级比赛 '!O41*5</f>
        <v>18.1428571428571</v>
      </c>
      <c r="P41" s="12">
        <f>' B2级比赛 '!P41*5</f>
        <v>16.9333333333333</v>
      </c>
      <c r="Q41" s="12">
        <f>' B2级比赛 '!Q41*5</f>
        <v>15.875</v>
      </c>
      <c r="R41" s="12">
        <f>' B2级比赛 '!R41*5</f>
        <v>14.9411764705882</v>
      </c>
      <c r="S41" s="12">
        <f>' B2级比赛 '!S41*5</f>
        <v>14.1111111111111</v>
      </c>
      <c r="T41" s="12">
        <f>' B2级比赛 '!T41*5</f>
        <v>13.3684210526316</v>
      </c>
      <c r="U41" s="12">
        <f>' B2级比赛 '!U41*5</f>
        <v>12.7</v>
      </c>
      <c r="V41" s="12">
        <f>' B2级比赛 '!V41*5</f>
        <v>12.0952380952381</v>
      </c>
      <c r="W41" s="12">
        <f>' B2级比赛 '!W41*5</f>
        <v>11.5454545454545</v>
      </c>
      <c r="X41" s="12">
        <f>' B2级比赛 '!X41*5</f>
        <v>11.0434782608696</v>
      </c>
      <c r="Y41" s="12">
        <f>' B2级比赛 '!Y41*5</f>
        <v>10.5833333333333</v>
      </c>
      <c r="Z41" s="12">
        <f>' B2级比赛 '!Z41*5</f>
        <v>10.16</v>
      </c>
      <c r="AA41" s="12">
        <f>' B2级比赛 '!AA41*5</f>
        <v>9.76923076923077</v>
      </c>
      <c r="AB41" s="12">
        <f>' B2级比赛 '!AB41*5</f>
        <v>9.40740740740741</v>
      </c>
      <c r="AC41" s="12">
        <f>' B2级比赛 '!AC41*5</f>
        <v>9.07142857142857</v>
      </c>
      <c r="AD41" s="12">
        <f>' B2级比赛 '!AD41*5</f>
        <v>8.75862068965517</v>
      </c>
      <c r="AE41" s="12">
        <f>' B2级比赛 '!AE41*5</f>
        <v>8.46666666666666</v>
      </c>
      <c r="AF41" s="12">
        <f>' B2级比赛 '!AF41*5</f>
        <v>8.19354838709677</v>
      </c>
      <c r="AG41" s="12">
        <f>' B2级比赛 '!AG41*5</f>
        <v>7.9375</v>
      </c>
      <c r="AH41" s="12">
        <f>' B2级比赛 '!AH41*5</f>
        <v>7.6969696969697</v>
      </c>
      <c r="AI41" s="12">
        <f>' B2级比赛 '!AI41*5</f>
        <v>7.47058823529412</v>
      </c>
      <c r="AJ41" s="12">
        <f>' B2级比赛 '!AJ41*5</f>
        <v>7.25714285714286</v>
      </c>
      <c r="AK41" s="12">
        <f>' B2级比赛 '!AK41*5</f>
        <v>7.05555555555556</v>
      </c>
      <c r="AL41" s="12">
        <f>' B2级比赛 '!AL41*5</f>
        <v>6.86486486486486</v>
      </c>
      <c r="AM41" s="12">
        <f>' B2级比赛 '!AM41*5</f>
        <v>6.68421052631579</v>
      </c>
      <c r="AN41" s="12">
        <f>' B2级比赛 '!AN41*5</f>
        <v>6.51282051282051</v>
      </c>
      <c r="AO41" s="12">
        <f>' B2级比赛 '!AO41*5</f>
        <v>6.35</v>
      </c>
      <c r="AP41" s="12">
        <f>' B2级比赛 '!AP41*5</f>
        <v>6.19512195121951</v>
      </c>
      <c r="AQ41" s="12">
        <f>' B2级比赛 '!AQ41*5</f>
        <v>6.04761904761905</v>
      </c>
      <c r="AR41" s="12">
        <f>' B2级比赛 '!AR41*5</f>
        <v>5.90697674418605</v>
      </c>
      <c r="AS41" s="12">
        <f>' B2级比赛 '!AS41*5</f>
        <v>5.77272727272727</v>
      </c>
      <c r="AT41" s="12">
        <f>' B2级比赛 '!AT41*5</f>
        <v>5.64444444444444</v>
      </c>
      <c r="AU41" s="21">
        <f>' B2级比赛 '!AU41*5</f>
        <v>1234.85015468337</v>
      </c>
      <c r="AV41" s="20">
        <f>' B2级比赛 '!AV41*5</f>
        <v>8.01850749794396</v>
      </c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23"/>
      <c r="BO41" s="23"/>
      <c r="BP41" s="23"/>
      <c r="BQ41" s="23"/>
      <c r="BR41" s="23"/>
      <c r="BS41" s="23"/>
      <c r="BT41" s="23"/>
      <c r="BU41" s="2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>
      <c r="A42" s="11" t="s">
        <v>104</v>
      </c>
      <c r="B42" s="12">
        <f>' B2级比赛 '!B42*5</f>
        <v>260</v>
      </c>
      <c r="C42" s="12">
        <f>' B2级比赛 '!C42*5</f>
        <v>182</v>
      </c>
      <c r="D42" s="15">
        <f>' B2级比赛 '!D42*5</f>
        <v>130</v>
      </c>
      <c r="E42" s="15">
        <f>' B2级比赛 '!E42*5</f>
        <v>91</v>
      </c>
      <c r="F42" s="15">
        <f>' B2级比赛 '!F42*5</f>
        <v>52</v>
      </c>
      <c r="G42" s="15">
        <f>' B2级比赛 '!G42*5</f>
        <v>43.3333333333333</v>
      </c>
      <c r="H42" s="15">
        <f>' B2级比赛 '!H42*5</f>
        <v>37.1428571428571</v>
      </c>
      <c r="I42" s="15">
        <f>' B2级比赛 '!I42*5</f>
        <v>32.5</v>
      </c>
      <c r="J42" s="15">
        <f>' B2级比赛 '!J42*5</f>
        <v>28.8888888888889</v>
      </c>
      <c r="K42" s="15">
        <f>' B2级比赛 '!K42*5</f>
        <v>26</v>
      </c>
      <c r="L42" s="15">
        <f>' B2级比赛 '!L42*5</f>
        <v>23.6363636363636</v>
      </c>
      <c r="M42" s="15">
        <f>' B2级比赛 '!M42*5</f>
        <v>21.6666666666667</v>
      </c>
      <c r="N42" s="15">
        <f>' B2级比赛 '!N42*5</f>
        <v>20</v>
      </c>
      <c r="O42" s="15">
        <f>' B2级比赛 '!O42*5</f>
        <v>18.5714285714286</v>
      </c>
      <c r="P42" s="12">
        <f>' B2级比赛 '!P42*5</f>
        <v>17.3333333333333</v>
      </c>
      <c r="Q42" s="12">
        <f>' B2级比赛 '!Q42*5</f>
        <v>16.25</v>
      </c>
      <c r="R42" s="12">
        <f>' B2级比赛 '!R42*5</f>
        <v>15.2941176470588</v>
      </c>
      <c r="S42" s="12">
        <f>' B2级比赛 '!S42*5</f>
        <v>14.4444444444444</v>
      </c>
      <c r="T42" s="12">
        <f>' B2级比赛 '!T42*5</f>
        <v>13.6842105263158</v>
      </c>
      <c r="U42" s="12">
        <f>' B2级比赛 '!U42*5</f>
        <v>13</v>
      </c>
      <c r="V42" s="12">
        <f>' B2级比赛 '!V42*5</f>
        <v>12.3809523809524</v>
      </c>
      <c r="W42" s="12">
        <f>' B2级比赛 '!W42*5</f>
        <v>11.8181818181818</v>
      </c>
      <c r="X42" s="12">
        <f>' B2级比赛 '!X42*5</f>
        <v>11.304347826087</v>
      </c>
      <c r="Y42" s="12">
        <f>' B2级比赛 '!Y42*5</f>
        <v>10.8333333333333</v>
      </c>
      <c r="Z42" s="12">
        <f>' B2级比赛 '!Z42*5</f>
        <v>10.4</v>
      </c>
      <c r="AA42" s="12">
        <f>' B2级比赛 '!AA42*5</f>
        <v>10</v>
      </c>
      <c r="AB42" s="12">
        <f>' B2级比赛 '!AB42*5</f>
        <v>9.62962962962963</v>
      </c>
      <c r="AC42" s="12">
        <f>' B2级比赛 '!AC42*5</f>
        <v>9.28571428571429</v>
      </c>
      <c r="AD42" s="12">
        <f>' B2级比赛 '!AD42*5</f>
        <v>8.96551724137931</v>
      </c>
      <c r="AE42" s="12">
        <f>' B2级比赛 '!AE42*5</f>
        <v>8.66666666666667</v>
      </c>
      <c r="AF42" s="12">
        <f>' B2级比赛 '!AF42*5</f>
        <v>8.38709677419355</v>
      </c>
      <c r="AG42" s="12">
        <f>' B2级比赛 '!AG42*5</f>
        <v>8.125</v>
      </c>
      <c r="AH42" s="12">
        <f>' B2级比赛 '!AH42*5</f>
        <v>7.87878787878788</v>
      </c>
      <c r="AI42" s="12">
        <f>' B2级比赛 '!AI42*5</f>
        <v>7.64705882352941</v>
      </c>
      <c r="AJ42" s="12">
        <f>' B2级比赛 '!AJ42*5</f>
        <v>7.42857142857143</v>
      </c>
      <c r="AK42" s="12">
        <f>' B2级比赛 '!AK42*5</f>
        <v>7.22222222222222</v>
      </c>
      <c r="AL42" s="12">
        <f>' B2级比赛 '!AL42*5</f>
        <v>7.02702702702703</v>
      </c>
      <c r="AM42" s="12">
        <f>' B2级比赛 '!AM42*5</f>
        <v>6.84210526315789</v>
      </c>
      <c r="AN42" s="12">
        <f>' B2级比赛 '!AN42*5</f>
        <v>6.66666666666667</v>
      </c>
      <c r="AO42" s="12">
        <f>' B2级比赛 '!AO42*5</f>
        <v>6.5</v>
      </c>
      <c r="AP42" s="12">
        <f>' B2级比赛 '!AP42*5</f>
        <v>6.34146341463415</v>
      </c>
      <c r="AQ42" s="12">
        <f>' B2级比赛 '!AQ42*5</f>
        <v>6.19047619047619</v>
      </c>
      <c r="AR42" s="12">
        <f>' B2级比赛 '!AR42*5</f>
        <v>6.04651162790698</v>
      </c>
      <c r="AS42" s="12">
        <f>' B2级比赛 '!AS42*5</f>
        <v>5.90909090909091</v>
      </c>
      <c r="AT42" s="12">
        <f>' B2级比赛 '!AT42*5</f>
        <v>5.77777777777778</v>
      </c>
      <c r="AU42" s="12">
        <f>' B2级比赛 '!AU42*5</f>
        <v>5.65217391304348</v>
      </c>
      <c r="AV42" s="12">
        <f>' B2级比赛 '!AV42*5</f>
        <v>5.53191489361702</v>
      </c>
      <c r="AW42" s="21">
        <f>' B2级比赛 '!AW42*5</f>
        <v>1275.20393218334</v>
      </c>
      <c r="AX42" s="20">
        <f>' B2级比赛 '!AX42*5</f>
        <v>8.02015051687634</v>
      </c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23"/>
      <c r="BO42" s="23"/>
      <c r="BP42" s="23"/>
      <c r="BQ42" s="23"/>
      <c r="BR42" s="23"/>
      <c r="BS42" s="23"/>
      <c r="BT42" s="23"/>
      <c r="BU42" s="2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>
      <c r="A43" s="11" t="s">
        <v>105</v>
      </c>
      <c r="B43" s="12">
        <f>' B2级比赛 '!B43*5</f>
        <v>266</v>
      </c>
      <c r="C43" s="12">
        <f>' B2级比赛 '!C43*5</f>
        <v>186.2</v>
      </c>
      <c r="D43" s="15">
        <f>' B2级比赛 '!D43*5</f>
        <v>133</v>
      </c>
      <c r="E43" s="15">
        <f>' B2级比赛 '!E43*5</f>
        <v>93.1</v>
      </c>
      <c r="F43" s="15">
        <f>' B2级比赛 '!F43*5</f>
        <v>53.2</v>
      </c>
      <c r="G43" s="15">
        <f>' B2级比赛 '!G43*5</f>
        <v>44.3333333333333</v>
      </c>
      <c r="H43" s="15">
        <f>' B2级比赛 '!H43*5</f>
        <v>38</v>
      </c>
      <c r="I43" s="15">
        <f>' B2级比赛 '!I43*5</f>
        <v>33.25</v>
      </c>
      <c r="J43" s="15">
        <f>' B2级比赛 '!J43*5</f>
        <v>29.5555555555556</v>
      </c>
      <c r="K43" s="15">
        <f>' B2级比赛 '!K43*5</f>
        <v>26.6</v>
      </c>
      <c r="L43" s="15">
        <f>' B2级比赛 '!L43*5</f>
        <v>24.1818181818182</v>
      </c>
      <c r="M43" s="15">
        <f>' B2级比赛 '!M43*5</f>
        <v>22.1666666666667</v>
      </c>
      <c r="N43" s="15">
        <f>' B2级比赛 '!N43*5</f>
        <v>20.4615384615385</v>
      </c>
      <c r="O43" s="15">
        <f>' B2级比赛 '!O43*5</f>
        <v>19</v>
      </c>
      <c r="P43" s="12">
        <f>' B2级比赛 '!P43*5</f>
        <v>17.7333333333333</v>
      </c>
      <c r="Q43" s="12">
        <f>' B2级比赛 '!Q43*5</f>
        <v>16.625</v>
      </c>
      <c r="R43" s="12">
        <f>' B2级比赛 '!R43*5</f>
        <v>15.6470588235294</v>
      </c>
      <c r="S43" s="12">
        <f>' B2级比赛 '!S43*5</f>
        <v>14.7777777777778</v>
      </c>
      <c r="T43" s="12">
        <f>' B2级比赛 '!T43*5</f>
        <v>14</v>
      </c>
      <c r="U43" s="12">
        <f>' B2级比赛 '!U43*5</f>
        <v>13.3</v>
      </c>
      <c r="V43" s="12">
        <f>' B2级比赛 '!V43*5</f>
        <v>12.6666666666667</v>
      </c>
      <c r="W43" s="12">
        <f>' B2级比赛 '!W43*5</f>
        <v>12.0909090909091</v>
      </c>
      <c r="X43" s="12">
        <f>' B2级比赛 '!X43*5</f>
        <v>11.5652173913043</v>
      </c>
      <c r="Y43" s="12">
        <f>' B2级比赛 '!Y43*5</f>
        <v>11.0833333333333</v>
      </c>
      <c r="Z43" s="12">
        <f>' B2级比赛 '!Z43*5</f>
        <v>10.64</v>
      </c>
      <c r="AA43" s="12">
        <f>' B2级比赛 '!AA43*5</f>
        <v>10.2307692307692</v>
      </c>
      <c r="AB43" s="12">
        <f>' B2级比赛 '!AB43*5</f>
        <v>9.85185185185185</v>
      </c>
      <c r="AC43" s="12">
        <f>' B2级比赛 '!AC43*5</f>
        <v>9.5</v>
      </c>
      <c r="AD43" s="12">
        <f>' B2级比赛 '!AD43*5</f>
        <v>9.17241379310345</v>
      </c>
      <c r="AE43" s="12">
        <f>' B2级比赛 '!AE43*5</f>
        <v>8.86666666666667</v>
      </c>
      <c r="AF43" s="12">
        <f>' B2级比赛 '!AF43*5</f>
        <v>8.58064516129032</v>
      </c>
      <c r="AG43" s="12">
        <f>' B2级比赛 '!AG43*5</f>
        <v>8.3125</v>
      </c>
      <c r="AH43" s="12">
        <f>' B2级比赛 '!AH43*5</f>
        <v>8.06060606060606</v>
      </c>
      <c r="AI43" s="12">
        <f>' B2级比赛 '!AI43*5</f>
        <v>7.82352941176471</v>
      </c>
      <c r="AJ43" s="12">
        <f>' B2级比赛 '!AJ43*5</f>
        <v>7.6</v>
      </c>
      <c r="AK43" s="12">
        <f>' B2级比赛 '!AK43*5</f>
        <v>7.38888888888889</v>
      </c>
      <c r="AL43" s="12">
        <f>' B2级比赛 '!AL43*5</f>
        <v>7.18918918918919</v>
      </c>
      <c r="AM43" s="12">
        <f>' B2级比赛 '!AM43*5</f>
        <v>7</v>
      </c>
      <c r="AN43" s="12">
        <f>' B2级比赛 '!AN43*5</f>
        <v>6.82051282051282</v>
      </c>
      <c r="AO43" s="12">
        <f>' B2级比赛 '!AO43*5</f>
        <v>6.65</v>
      </c>
      <c r="AP43" s="12">
        <f>' B2级比赛 '!AP43*5</f>
        <v>6.48780487804878</v>
      </c>
      <c r="AQ43" s="12">
        <f>' B2级比赛 '!AQ43*5</f>
        <v>6.33333333333333</v>
      </c>
      <c r="AR43" s="12">
        <f>' B2级比赛 '!AR43*5</f>
        <v>6.18604651162791</v>
      </c>
      <c r="AS43" s="12">
        <f>' B2级比赛 '!AS43*5</f>
        <v>6.04545454545455</v>
      </c>
      <c r="AT43" s="12">
        <f>' B2级比赛 '!AT43*5</f>
        <v>5.91111111111111</v>
      </c>
      <c r="AU43" s="12">
        <f>' B2级比赛 '!AU43*5</f>
        <v>5.78260869565217</v>
      </c>
      <c r="AV43" s="12">
        <f>' B2级比赛 '!AV43*5</f>
        <v>5.65957446808511</v>
      </c>
      <c r="AW43" s="12">
        <f>' B2级比赛 '!AW43*5</f>
        <v>5.54166666666667</v>
      </c>
      <c r="AX43" s="12">
        <f>' B2级比赛 '!AX43*5</f>
        <v>5.42857142857143</v>
      </c>
      <c r="AY43" s="21">
        <f>' B2级比赛 '!AY43*5</f>
        <v>1315.60195332896</v>
      </c>
      <c r="AZ43" s="20">
        <f>' B2级比赛 '!AZ43*5</f>
        <v>8.02196313005464</v>
      </c>
      <c r="BA43" s="18"/>
      <c r="BB43" s="18"/>
      <c r="BC43" s="18"/>
      <c r="BD43" s="18"/>
      <c r="BE43" s="18"/>
      <c r="BF43" s="18">
        <f>' B2级比赛 '!BF43*5</f>
        <v>0</v>
      </c>
      <c r="BG43" s="18">
        <f>' B2级比赛 '!BG43*5</f>
        <v>0</v>
      </c>
      <c r="BH43" s="18"/>
      <c r="BI43" s="18"/>
      <c r="BJ43" s="18"/>
      <c r="BK43" s="18"/>
      <c r="BL43" s="18"/>
      <c r="BM43" s="18"/>
      <c r="BN43" s="23"/>
      <c r="BO43" s="23"/>
      <c r="BP43" s="23"/>
      <c r="BQ43" s="23"/>
      <c r="BR43" s="23"/>
      <c r="BS43" s="23"/>
      <c r="BT43" s="23"/>
      <c r="BU43" s="2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>
      <c r="A44" s="11" t="s">
        <v>106</v>
      </c>
      <c r="B44" s="12">
        <f>' B2级比赛 '!B44*5</f>
        <v>272.5</v>
      </c>
      <c r="C44" s="12">
        <f>' B2级比赛 '!C44*5</f>
        <v>190.75</v>
      </c>
      <c r="D44" s="15">
        <f>' B2级比赛 '!D44*5</f>
        <v>136.25</v>
      </c>
      <c r="E44" s="15">
        <f>' B2级比赛 '!E44*5</f>
        <v>95.375</v>
      </c>
      <c r="F44" s="15">
        <f>' B2级比赛 '!F44*5</f>
        <v>54.5</v>
      </c>
      <c r="G44" s="15">
        <f>' B2级比赛 '!G44*5</f>
        <v>45.4166666666667</v>
      </c>
      <c r="H44" s="15">
        <f>' B2级比赛 '!H44*5</f>
        <v>38.9285714285714</v>
      </c>
      <c r="I44" s="15">
        <f>' B2级比赛 '!I44*5</f>
        <v>34.0625</v>
      </c>
      <c r="J44" s="15">
        <f>' B2级比赛 '!J44*5</f>
        <v>30.2777777777778</v>
      </c>
      <c r="K44" s="15">
        <f>' B2级比赛 '!K44*5</f>
        <v>27.25</v>
      </c>
      <c r="L44" s="15">
        <f>' B2级比赛 '!L44*5</f>
        <v>24.7727272727273</v>
      </c>
      <c r="M44" s="15">
        <f>' B2级比赛 '!M44*5</f>
        <v>22.7083333333333</v>
      </c>
      <c r="N44" s="15">
        <f>' B2级比赛 '!N44*5</f>
        <v>20.9615384615385</v>
      </c>
      <c r="O44" s="15">
        <f>' B2级比赛 '!O44*5</f>
        <v>19.4642857142857</v>
      </c>
      <c r="P44" s="12">
        <f>' B2级比赛 '!P44*5</f>
        <v>18.1666666666667</v>
      </c>
      <c r="Q44" s="12">
        <f>' B2级比赛 '!Q44*5</f>
        <v>17.03125</v>
      </c>
      <c r="R44" s="12">
        <f>' B2级比赛 '!R44*5</f>
        <v>16.0294117647059</v>
      </c>
      <c r="S44" s="12">
        <f>' B2级比赛 '!S44*5</f>
        <v>15.1388888888889</v>
      </c>
      <c r="T44" s="12">
        <f>' B2级比赛 '!T44*5</f>
        <v>14.3421052631579</v>
      </c>
      <c r="U44" s="12">
        <f>' B2级比赛 '!U44*5</f>
        <v>13.625</v>
      </c>
      <c r="V44" s="12">
        <f>' B2级比赛 '!V44*5</f>
        <v>12.9761904761905</v>
      </c>
      <c r="W44" s="12">
        <f>' B2级比赛 '!W44*5</f>
        <v>12.3863636363636</v>
      </c>
      <c r="X44" s="12">
        <f>' B2级比赛 '!X44*5</f>
        <v>11.8478260869565</v>
      </c>
      <c r="Y44" s="12">
        <f>' B2级比赛 '!Y44*5</f>
        <v>11.3541666666667</v>
      </c>
      <c r="Z44" s="12">
        <f>' B2级比赛 '!Z44*5</f>
        <v>10.9</v>
      </c>
      <c r="AA44" s="12">
        <f>' B2级比赛 '!AA44*5</f>
        <v>10.4807692307692</v>
      </c>
      <c r="AB44" s="12">
        <f>' B2级比赛 '!AB44*5</f>
        <v>10.0925925925926</v>
      </c>
      <c r="AC44" s="12">
        <f>' B2级比赛 '!AC44*5</f>
        <v>9.73214285714286</v>
      </c>
      <c r="AD44" s="12">
        <f>' B2级比赛 '!AD44*5</f>
        <v>9.39655172413793</v>
      </c>
      <c r="AE44" s="12">
        <f>' B2级比赛 '!AE44*5</f>
        <v>9.08333333333333</v>
      </c>
      <c r="AF44" s="12">
        <f>' B2级比赛 '!AF44*5</f>
        <v>8.79032258064516</v>
      </c>
      <c r="AG44" s="12">
        <f>' B2级比赛 '!AG44*5</f>
        <v>8.515625</v>
      </c>
      <c r="AH44" s="12">
        <f>' B2级比赛 '!AH44*5</f>
        <v>8.25757575757576</v>
      </c>
      <c r="AI44" s="12">
        <f>' B2级比赛 '!AI44*5</f>
        <v>8.01470588235294</v>
      </c>
      <c r="AJ44" s="12">
        <f>' B2级比赛 '!AJ44*5</f>
        <v>7.78571428571429</v>
      </c>
      <c r="AK44" s="12">
        <f>' B2级比赛 '!AK44*5</f>
        <v>7.56944444444444</v>
      </c>
      <c r="AL44" s="12">
        <f>' B2级比赛 '!AL44*5</f>
        <v>7.36486486486486</v>
      </c>
      <c r="AM44" s="12">
        <f>' B2级比赛 '!AM44*5</f>
        <v>7.17105263157895</v>
      </c>
      <c r="AN44" s="12">
        <f>' B2级比赛 '!AN44*5</f>
        <v>6.98717948717949</v>
      </c>
      <c r="AO44" s="12">
        <f>' B2级比赛 '!AO44*5</f>
        <v>6.8125</v>
      </c>
      <c r="AP44" s="12">
        <f>' B2级比赛 '!AP44*5</f>
        <v>6.64634146341463</v>
      </c>
      <c r="AQ44" s="12">
        <f>' B2级比赛 '!AQ44*5</f>
        <v>6.48809523809524</v>
      </c>
      <c r="AR44" s="12">
        <f>' B2级比赛 '!AR44*5</f>
        <v>6.33720930232558</v>
      </c>
      <c r="AS44" s="12">
        <f>' B2级比赛 '!AS44*5</f>
        <v>6.19318181818182</v>
      </c>
      <c r="AT44" s="12">
        <f>' B2级比赛 '!AT44*5</f>
        <v>6.05555555555556</v>
      </c>
      <c r="AU44" s="12">
        <f>' B2级比赛 '!AU44*5</f>
        <v>5.92391304347826</v>
      </c>
      <c r="AV44" s="12">
        <f>' B2级比赛 '!AV44*5</f>
        <v>5.79787234042553</v>
      </c>
      <c r="AW44" s="12">
        <f>' B2级比赛 '!AW44*5</f>
        <v>5.67708333333333</v>
      </c>
      <c r="AX44" s="12">
        <f>' B2级比赛 '!AX44*5</f>
        <v>5.56122448979592</v>
      </c>
      <c r="AY44" s="12">
        <f>' B2级比赛 '!AY44*5</f>
        <v>5.45</v>
      </c>
      <c r="AZ44" s="21">
        <f>' B2级比赛 '!AZ44*5</f>
        <v>1353.20012136143</v>
      </c>
      <c r="BA44" s="20">
        <f>' B2级比赛 '!BA44*5</f>
        <v>8.00710130983097</v>
      </c>
      <c r="BB44" s="18"/>
      <c r="BC44" s="18"/>
      <c r="BD44" s="18"/>
      <c r="BE44" s="18"/>
      <c r="BF44" s="18">
        <f>' B2级比赛 '!BF44*5</f>
        <v>0</v>
      </c>
      <c r="BG44" s="18">
        <f>' B2级比赛 '!BG44*5</f>
        <v>0</v>
      </c>
      <c r="BH44" s="18"/>
      <c r="BI44" s="18"/>
      <c r="BJ44" s="18"/>
      <c r="BK44" s="18"/>
      <c r="BL44" s="18"/>
      <c r="BM44" s="18"/>
      <c r="BN44" s="23"/>
      <c r="BO44" s="23"/>
      <c r="BP44" s="23"/>
      <c r="BQ44" s="23"/>
      <c r="BR44" s="23"/>
      <c r="BS44" s="23"/>
      <c r="BT44" s="23"/>
      <c r="BU44" s="2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>
      <c r="A45" s="11" t="s">
        <v>107</v>
      </c>
      <c r="B45" s="12">
        <f>' B2级比赛 '!B45*5</f>
        <v>370</v>
      </c>
      <c r="C45" s="12">
        <f>' B2级比赛 '!C45*5</f>
        <v>259</v>
      </c>
      <c r="D45" s="15">
        <f>' B2级比赛 '!D45*5</f>
        <v>185</v>
      </c>
      <c r="E45" s="15">
        <f>' B2级比赛 '!E45*5</f>
        <v>129.5</v>
      </c>
      <c r="F45" s="15">
        <f>' B2级比赛 '!F45*5</f>
        <v>74</v>
      </c>
      <c r="G45" s="15">
        <f>' B2级比赛 '!G45*5</f>
        <v>61.6666666666667</v>
      </c>
      <c r="H45" s="15">
        <f>' B2级比赛 '!H45*5</f>
        <v>52.8571428571429</v>
      </c>
      <c r="I45" s="15">
        <f>' B2级比赛 '!I45*5</f>
        <v>46.25</v>
      </c>
      <c r="J45" s="15">
        <f>' B2级比赛 '!J45*5</f>
        <v>41.1111111111111</v>
      </c>
      <c r="K45" s="15">
        <f>' B2级比赛 '!K45*5</f>
        <v>37</v>
      </c>
      <c r="L45" s="15">
        <f>' B2级比赛 '!L45*5</f>
        <v>33.6363636363636</v>
      </c>
      <c r="M45" s="15">
        <f>' B2级比赛 '!M45*5</f>
        <v>30.8333333333333</v>
      </c>
      <c r="N45" s="15">
        <f>' B2级比赛 '!N45*5</f>
        <v>28.4615384615385</v>
      </c>
      <c r="O45" s="15">
        <f>' B2级比赛 '!O45*5</f>
        <v>26.4285714285714</v>
      </c>
      <c r="P45" s="12">
        <f>' B2级比赛 '!P45*5</f>
        <v>24.6666666666667</v>
      </c>
      <c r="Q45" s="12">
        <f>' B2级比赛 '!Q45*5</f>
        <v>23.125</v>
      </c>
      <c r="R45" s="12">
        <f>' B2级比赛 '!R45*5</f>
        <v>21.7647058823529</v>
      </c>
      <c r="S45" s="12">
        <f>' B2级比赛 '!S45*5</f>
        <v>20.5555555555556</v>
      </c>
      <c r="T45" s="12">
        <f>' B2级比赛 '!T45*5</f>
        <v>19.4736842105263</v>
      </c>
      <c r="U45" s="12">
        <f>' B2级比赛 '!U45*5</f>
        <v>18.5</v>
      </c>
      <c r="V45" s="12">
        <f>' B2级比赛 '!V45*5</f>
        <v>17.6190476190476</v>
      </c>
      <c r="W45" s="12">
        <f>' B2级比赛 '!W45*5</f>
        <v>16.8181818181818</v>
      </c>
      <c r="X45" s="12">
        <f>' B2级比赛 '!X45*5</f>
        <v>16.0869565217391</v>
      </c>
      <c r="Y45" s="12">
        <f>' B2级比赛 '!Y45*5</f>
        <v>15.4166666666667</v>
      </c>
      <c r="Z45" s="12">
        <f>' B2级比赛 '!Z45*5</f>
        <v>14.8</v>
      </c>
      <c r="AA45" s="12">
        <f>' B2级比赛 '!AA45*5</f>
        <v>14.2307692307692</v>
      </c>
      <c r="AB45" s="12">
        <f>' B2级比赛 '!AB45*5</f>
        <v>13.7037037037037</v>
      </c>
      <c r="AC45" s="12">
        <f>' B2级比赛 '!AC45*5</f>
        <v>13.2142857142857</v>
      </c>
      <c r="AD45" s="12">
        <f>' B2级比赛 '!AD45*5</f>
        <v>12.7586206896552</v>
      </c>
      <c r="AE45" s="12">
        <f>' B2级比赛 '!AE45*5</f>
        <v>12.3333333333333</v>
      </c>
      <c r="AF45" s="12">
        <f>' B2级比赛 '!AF45*5</f>
        <v>11.9354838709677</v>
      </c>
      <c r="AG45" s="12">
        <f>' B2级比赛 '!AG45*5</f>
        <v>11.5625</v>
      </c>
      <c r="AH45" s="12">
        <f>' B2级比赛 '!AH45*5</f>
        <v>11.2121212121212</v>
      </c>
      <c r="AI45" s="12">
        <f>' B2级比赛 '!AI45*5</f>
        <v>10.8823529411765</v>
      </c>
      <c r="AJ45" s="12">
        <f>' B2级比赛 '!AJ45*5</f>
        <v>10.5714285714286</v>
      </c>
      <c r="AK45" s="12">
        <f>' B2级比赛 '!AK45*5</f>
        <v>10.2777777777778</v>
      </c>
      <c r="AL45" s="12">
        <f>' B2级比赛 '!AL45*5</f>
        <v>10</v>
      </c>
      <c r="AM45" s="12">
        <f>' B2级比赛 '!AM45*5</f>
        <v>9.73684210526316</v>
      </c>
      <c r="AN45" s="12">
        <f>' B2级比赛 '!AN45*5</f>
        <v>9.48717948717949</v>
      </c>
      <c r="AO45" s="12">
        <f>' B2级比赛 '!AO45*5</f>
        <v>9.25</v>
      </c>
      <c r="AP45" s="12">
        <f>' B2级比赛 '!AP45*5</f>
        <v>9.02439024390244</v>
      </c>
      <c r="AQ45" s="12">
        <f>' B2级比赛 '!AQ45*5</f>
        <v>8.80952380952381</v>
      </c>
      <c r="AR45" s="12">
        <f>' B2级比赛 '!AR45*5</f>
        <v>8.6046511627907</v>
      </c>
      <c r="AS45" s="12">
        <f>' B2级比赛 '!AS45*5</f>
        <v>8.40909090909091</v>
      </c>
      <c r="AT45" s="12">
        <f>' B2级比赛 '!AT45*5</f>
        <v>8.22222222222222</v>
      </c>
      <c r="AU45" s="12">
        <f>' B2级比赛 '!AU45*5</f>
        <v>8.04347826086957</v>
      </c>
      <c r="AV45" s="12">
        <f>' B2级比赛 '!AV45*5</f>
        <v>7.87234042553191</v>
      </c>
      <c r="AW45" s="12">
        <f>' B2级比赛 '!AW45*5</f>
        <v>7.70833333333333</v>
      </c>
      <c r="AX45" s="12">
        <f>' B2级比赛 '!AX45*5</f>
        <v>7.55102040816326</v>
      </c>
      <c r="AY45" s="12">
        <f>' B2级比赛 '!AY45*5</f>
        <v>7.4</v>
      </c>
      <c r="AZ45" s="18">
        <f>' B2级比赛 '!AZ45*5</f>
        <v>7.25490196078431</v>
      </c>
      <c r="BA45" s="21">
        <f>' B2级比赛 '!BA45*5</f>
        <v>2018.74519086816</v>
      </c>
      <c r="BB45" s="20">
        <f>' B2级比赛 '!BB45*5</f>
        <v>8.04280952537117</v>
      </c>
      <c r="BC45" s="18"/>
      <c r="BD45" s="18"/>
      <c r="BE45" s="18"/>
      <c r="BF45" s="18">
        <f>' B2级比赛 '!BF45*5</f>
        <v>0</v>
      </c>
      <c r="BG45" s="18">
        <f>' B2级比赛 '!BG45*5</f>
        <v>0</v>
      </c>
      <c r="BH45" s="18"/>
      <c r="BI45" s="18"/>
      <c r="BJ45" s="18"/>
      <c r="BK45" s="18"/>
      <c r="BL45" s="18"/>
      <c r="BM45" s="18"/>
      <c r="BN45" s="23"/>
      <c r="BO45" s="23"/>
      <c r="BP45" s="23"/>
      <c r="BQ45" s="23"/>
      <c r="BR45" s="23"/>
      <c r="BS45" s="23"/>
      <c r="BT45" s="23"/>
      <c r="BU45" s="2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>
      <c r="A46" s="11" t="s">
        <v>108</v>
      </c>
      <c r="B46" s="12">
        <f>' B2级比赛 '!B46*5</f>
        <v>465</v>
      </c>
      <c r="C46" s="12">
        <f>' B2级比赛 '!C46*5</f>
        <v>325.5</v>
      </c>
      <c r="D46" s="15">
        <f>' B2级比赛 '!D46*5</f>
        <v>232.5</v>
      </c>
      <c r="E46" s="15">
        <f>' B2级比赛 '!E46*5</f>
        <v>162.75</v>
      </c>
      <c r="F46" s="15">
        <f>' B2级比赛 '!F46*5</f>
        <v>93</v>
      </c>
      <c r="G46" s="15">
        <f>' B2级比赛 '!G46*5</f>
        <v>77.5</v>
      </c>
      <c r="H46" s="15">
        <f>' B2级比赛 '!H46*5</f>
        <v>66.4285714285714</v>
      </c>
      <c r="I46" s="15">
        <f>' B2级比赛 '!I46*5</f>
        <v>58.125</v>
      </c>
      <c r="J46" s="15">
        <f>' B2级比赛 '!J46*5</f>
        <v>51.6666666666667</v>
      </c>
      <c r="K46" s="15">
        <f>' B2级比赛 '!K46*5</f>
        <v>46.5</v>
      </c>
      <c r="L46" s="15">
        <f>' B2级比赛 '!L46*5</f>
        <v>42.2727272727273</v>
      </c>
      <c r="M46" s="15">
        <f>' B2级比赛 '!M46*5</f>
        <v>38.75</v>
      </c>
      <c r="N46" s="15">
        <f>' B2级比赛 '!N46*5</f>
        <v>35.7692307692308</v>
      </c>
      <c r="O46" s="15">
        <f>' B2级比赛 '!O46*5</f>
        <v>33.2142857142857</v>
      </c>
      <c r="P46" s="12">
        <f>' B2级比赛 '!P46*5</f>
        <v>31</v>
      </c>
      <c r="Q46" s="12">
        <f>' B2级比赛 '!Q46*5</f>
        <v>29.0625</v>
      </c>
      <c r="R46" s="12">
        <f>' B2级比赛 '!R46*5</f>
        <v>27.3529411764706</v>
      </c>
      <c r="S46" s="12">
        <f>' B2级比赛 '!S46*5</f>
        <v>25.8333333333333</v>
      </c>
      <c r="T46" s="12">
        <f>' B2级比赛 '!T46*5</f>
        <v>24.4736842105263</v>
      </c>
      <c r="U46" s="12">
        <f>' B2级比赛 '!U46*5</f>
        <v>23.25</v>
      </c>
      <c r="V46" s="12">
        <f>' B2级比赛 '!V46*5</f>
        <v>22.1428571428571</v>
      </c>
      <c r="W46" s="12">
        <f>' B2级比赛 '!W46*5</f>
        <v>21.1363636363636</v>
      </c>
      <c r="X46" s="12">
        <f>' B2级比赛 '!X46*5</f>
        <v>20.2173913043478</v>
      </c>
      <c r="Y46" s="12">
        <f>' B2级比赛 '!Y46*5</f>
        <v>19.375</v>
      </c>
      <c r="Z46" s="12">
        <f>' B2级比赛 '!Z46*5</f>
        <v>18.6</v>
      </c>
      <c r="AA46" s="12">
        <f>' B2级比赛 '!AA46*5</f>
        <v>17.8846153846154</v>
      </c>
      <c r="AB46" s="12">
        <f>' B2级比赛 '!AB46*5</f>
        <v>17.2222222222222</v>
      </c>
      <c r="AC46" s="12">
        <f>' B2级比赛 '!AC46*5</f>
        <v>16.6071428571429</v>
      </c>
      <c r="AD46" s="12">
        <f>' B2级比赛 '!AD46*5</f>
        <v>16.0344827586207</v>
      </c>
      <c r="AE46" s="12">
        <f>' B2级比赛 '!AE46*5</f>
        <v>15.5</v>
      </c>
      <c r="AF46" s="12">
        <f>' B2级比赛 '!AF46*5</f>
        <v>15</v>
      </c>
      <c r="AG46" s="12">
        <f>' B2级比赛 '!AG46*5</f>
        <v>14.53125</v>
      </c>
      <c r="AH46" s="12">
        <f>' B2级比赛 '!AH46*5</f>
        <v>14.0909090909091</v>
      </c>
      <c r="AI46" s="12">
        <f>' B2级比赛 '!AI46*5</f>
        <v>13.6764705882353</v>
      </c>
      <c r="AJ46" s="12">
        <f>' B2级比赛 '!AJ46*5</f>
        <v>13.2857142857143</v>
      </c>
      <c r="AK46" s="12">
        <f>' B2级比赛 '!AK46*5</f>
        <v>12.9166666666667</v>
      </c>
      <c r="AL46" s="12">
        <f>' B2级比赛 '!AL46*5</f>
        <v>12.5675675675676</v>
      </c>
      <c r="AM46" s="12">
        <f>' B2级比赛 '!AM46*5</f>
        <v>12.2368421052632</v>
      </c>
      <c r="AN46" s="12">
        <f>' B2级比赛 '!AN46*5</f>
        <v>11.9230769230769</v>
      </c>
      <c r="AO46" s="12">
        <f>' B2级比赛 '!AO46*5</f>
        <v>11.625</v>
      </c>
      <c r="AP46" s="12">
        <f>' B2级比赛 '!AP46*5</f>
        <v>11.3414634146341</v>
      </c>
      <c r="AQ46" s="12">
        <f>' B2级比赛 '!AQ46*5</f>
        <v>11.0714285714286</v>
      </c>
      <c r="AR46" s="12">
        <f>' B2级比赛 '!AR46*5</f>
        <v>10.8139534883721</v>
      </c>
      <c r="AS46" s="12">
        <f>' B2级比赛 '!AS46*5</f>
        <v>10.5681818181818</v>
      </c>
      <c r="AT46" s="12">
        <f>' B2级比赛 '!AT46*5</f>
        <v>10.3333333333333</v>
      </c>
      <c r="AU46" s="12">
        <f>' B2级比赛 '!AU46*5</f>
        <v>10.1086956521739</v>
      </c>
      <c r="AV46" s="12">
        <f>' B2级比赛 '!AV46*5</f>
        <v>9.8936170212766</v>
      </c>
      <c r="AW46" s="12">
        <f>' B2级比赛 '!AW46*5</f>
        <v>9.6875</v>
      </c>
      <c r="AX46" s="12">
        <f>' B2级比赛 '!AX46*5</f>
        <v>9.48979591836735</v>
      </c>
      <c r="AY46" s="12">
        <f>' B2级比赛 '!AY46*5</f>
        <v>9.3</v>
      </c>
      <c r="AZ46" s="18">
        <f>' B2级比赛 '!AZ46*5</f>
        <v>9.11764705882353</v>
      </c>
      <c r="BA46" s="18">
        <f>' B2级比赛 '!BA46*5</f>
        <v>6.11842105263158</v>
      </c>
      <c r="BB46" s="21">
        <f>' B2级比赛 '!BB46*5</f>
        <v>2690.03218510956</v>
      </c>
      <c r="BC46" s="20">
        <f>' B2级比赛 '!BC46*5</f>
        <v>8.02994682122257</v>
      </c>
      <c r="BD46" s="18"/>
      <c r="BE46" s="18"/>
      <c r="BF46" s="18">
        <f>' B2级比赛 '!BF46*5</f>
        <v>0</v>
      </c>
      <c r="BG46" s="18">
        <f>' B2级比赛 '!BG46*5</f>
        <v>0</v>
      </c>
      <c r="BH46" s="18"/>
      <c r="BI46" s="18"/>
      <c r="BJ46" s="18"/>
      <c r="BK46" s="18"/>
      <c r="BL46" s="18"/>
      <c r="BM46" s="18"/>
      <c r="BN46" s="23"/>
      <c r="BO46" s="23"/>
      <c r="BP46" s="23"/>
      <c r="BQ46" s="23"/>
      <c r="BR46" s="23"/>
      <c r="BS46" s="23"/>
      <c r="BT46" s="23"/>
      <c r="BU46" s="2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>
      <c r="A47" s="11" t="s">
        <v>109</v>
      </c>
      <c r="B47" s="12">
        <f>' B2级比赛 '!B47*5</f>
        <v>640</v>
      </c>
      <c r="C47" s="12">
        <f>' B2级比赛 '!C47*5</f>
        <v>448</v>
      </c>
      <c r="D47" s="15">
        <f>' B2级比赛 '!D47*5</f>
        <v>320</v>
      </c>
      <c r="E47" s="15">
        <f>' B2级比赛 '!E47*5</f>
        <v>224</v>
      </c>
      <c r="F47" s="15">
        <f>' B2级比赛 '!F47*5</f>
        <v>128</v>
      </c>
      <c r="G47" s="15">
        <f>' B2级比赛 '!G47*5</f>
        <v>106.666666666667</v>
      </c>
      <c r="H47" s="15">
        <f>' B2级比赛 '!H47*5</f>
        <v>91.4285714285714</v>
      </c>
      <c r="I47" s="15">
        <f>' B2级比赛 '!I47*5</f>
        <v>80</v>
      </c>
      <c r="J47" s="15">
        <f>' B2级比赛 '!J47*5</f>
        <v>71.1111111111111</v>
      </c>
      <c r="K47" s="15">
        <f>' B2级比赛 '!K47*5</f>
        <v>64</v>
      </c>
      <c r="L47" s="15">
        <f>' B2级比赛 '!L47*5</f>
        <v>58.1818181818182</v>
      </c>
      <c r="M47" s="15">
        <f>' B2级比赛 '!M47*5</f>
        <v>53.3333333333333</v>
      </c>
      <c r="N47" s="15">
        <f>' B2级比赛 '!N47*5</f>
        <v>49.2307692307692</v>
      </c>
      <c r="O47" s="15">
        <f>' B2级比赛 '!O47*5</f>
        <v>45.7142857142857</v>
      </c>
      <c r="P47" s="12">
        <f>' B2级比赛 '!P47*5</f>
        <v>42.6666666666667</v>
      </c>
      <c r="Q47" s="12">
        <f>' B2级比赛 '!Q47*5</f>
        <v>40</v>
      </c>
      <c r="R47" s="12">
        <f>' B2级比赛 '!R47*5</f>
        <v>37.6470588235294</v>
      </c>
      <c r="S47" s="12">
        <f>' B2级比赛 '!S47*5</f>
        <v>35.5555555555556</v>
      </c>
      <c r="T47" s="12">
        <f>' B2级比赛 '!T47*5</f>
        <v>33.6842105263158</v>
      </c>
      <c r="U47" s="12">
        <f>' B2级比赛 '!U47*5</f>
        <v>32</v>
      </c>
      <c r="V47" s="12">
        <f>' B2级比赛 '!V47*5</f>
        <v>30.4761904761905</v>
      </c>
      <c r="W47" s="12">
        <f>' B2级比赛 '!W47*5</f>
        <v>29.0909090909091</v>
      </c>
      <c r="X47" s="12">
        <f>' B2级比赛 '!X47*5</f>
        <v>27.8260869565217</v>
      </c>
      <c r="Y47" s="12">
        <f>' B2级比赛 '!Y47*5</f>
        <v>26.6666666666667</v>
      </c>
      <c r="Z47" s="12">
        <f>' B2级比赛 '!Z47*5</f>
        <v>25.6</v>
      </c>
      <c r="AA47" s="12">
        <f>' B2级比赛 '!AA47*5</f>
        <v>24.6153846153846</v>
      </c>
      <c r="AB47" s="12">
        <f>' B2级比赛 '!AB47*5</f>
        <v>23.7037037037037</v>
      </c>
      <c r="AC47" s="12">
        <f>' B2级比赛 '!AC47*5</f>
        <v>22.8571428571429</v>
      </c>
      <c r="AD47" s="12">
        <f>' B2级比赛 '!AD47*5</f>
        <v>22.0689655172414</v>
      </c>
      <c r="AE47" s="12">
        <f>' B2级比赛 '!AE47*5</f>
        <v>21.3333333333333</v>
      </c>
      <c r="AF47" s="12">
        <f>' B2级比赛 '!AF47*5</f>
        <v>20.6451612903226</v>
      </c>
      <c r="AG47" s="12">
        <f>' B2级比赛 '!AG47*5</f>
        <v>20</v>
      </c>
      <c r="AH47" s="12">
        <f>' B2级比赛 '!AH47*5</f>
        <v>19.3939393939394</v>
      </c>
      <c r="AI47" s="12">
        <f>' B2级比赛 '!AI47*5</f>
        <v>18.8235294117647</v>
      </c>
      <c r="AJ47" s="12">
        <f>' B2级比赛 '!AJ47*5</f>
        <v>18.2857142857143</v>
      </c>
      <c r="AK47" s="12">
        <f>' B2级比赛 '!AK47*5</f>
        <v>17.7777777777778</v>
      </c>
      <c r="AL47" s="12">
        <f>' B2级比赛 '!AL47*5</f>
        <v>17.2972972972973</v>
      </c>
      <c r="AM47" s="12">
        <f>' B2级比赛 '!AM47*5</f>
        <v>16.8421052631579</v>
      </c>
      <c r="AN47" s="12">
        <f>' B2级比赛 '!AN47*5</f>
        <v>16.4102564102564</v>
      </c>
      <c r="AO47" s="12">
        <f>' B2级比赛 '!AO47*5</f>
        <v>16</v>
      </c>
      <c r="AP47" s="12">
        <f>' B2级比赛 '!AP47*5</f>
        <v>15.609756097561</v>
      </c>
      <c r="AQ47" s="12">
        <f>' B2级比赛 '!AQ47*5</f>
        <v>15.2380952380952</v>
      </c>
      <c r="AR47" s="12">
        <f>' B2级比赛 '!AR47*5</f>
        <v>14.8837209302326</v>
      </c>
      <c r="AS47" s="12">
        <f>' B2级比赛 '!AS47*5</f>
        <v>14.5454545454545</v>
      </c>
      <c r="AT47" s="12">
        <f>' B2级比赛 '!AT47*5</f>
        <v>14.2222222222222</v>
      </c>
      <c r="AU47" s="12">
        <f>' B2级比赛 '!AU47*5</f>
        <v>13.9130434782609</v>
      </c>
      <c r="AV47" s="12">
        <f>' B2级比赛 '!AV47*5</f>
        <v>13.6170212765957</v>
      </c>
      <c r="AW47" s="12">
        <f>' B2级比赛 '!AW47*5</f>
        <v>13.3333333333333</v>
      </c>
      <c r="AX47" s="12">
        <f>' B2级比赛 '!AX47*5</f>
        <v>13.0612244897959</v>
      </c>
      <c r="AY47" s="12">
        <f>' B2级比赛 '!AY47*5</f>
        <v>12.8</v>
      </c>
      <c r="AZ47" s="18">
        <f>' B2级比赛 '!AZ47*5</f>
        <v>12.5490196078431</v>
      </c>
      <c r="BA47" s="18">
        <f>' B2级比赛 '!BA47*5</f>
        <v>8.42105263157895</v>
      </c>
      <c r="BB47" s="18">
        <f>' B2级比赛 '!BB47*5</f>
        <v>6.33663366336634</v>
      </c>
      <c r="BC47" s="21">
        <f>' B2级比赛 '!BC47*5</f>
        <v>4019.24157235137</v>
      </c>
      <c r="BD47" s="20">
        <f>' B2级比赛 '!BD47*5</f>
        <v>8.03848314470273</v>
      </c>
      <c r="BE47" s="18"/>
      <c r="BF47" s="18">
        <f>' B2级比赛 '!BF47*5</f>
        <v>0</v>
      </c>
      <c r="BG47" s="18">
        <f>' B2级比赛 '!BG47*5</f>
        <v>0</v>
      </c>
      <c r="BH47" s="18"/>
      <c r="BI47" s="18"/>
      <c r="BJ47" s="18"/>
      <c r="BK47" s="18"/>
      <c r="BL47" s="18"/>
      <c r="BM47" s="18"/>
      <c r="BN47" s="23"/>
      <c r="BO47" s="23"/>
      <c r="BP47" s="23"/>
      <c r="BQ47" s="23"/>
      <c r="BR47" s="23"/>
      <c r="BS47" s="23"/>
      <c r="BT47" s="23"/>
      <c r="BU47" s="2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>
      <c r="A48" s="11" t="s">
        <v>110</v>
      </c>
      <c r="B48" s="12">
        <f>' B2级比赛 '!B48*5</f>
        <v>815</v>
      </c>
      <c r="C48" s="12">
        <f>' B2级比赛 '!C48*5</f>
        <v>570.5</v>
      </c>
      <c r="D48" s="15">
        <f>' B2级比赛 '!D48*5</f>
        <v>407.5</v>
      </c>
      <c r="E48" s="15">
        <f>' B2级比赛 '!E48*5</f>
        <v>285.25</v>
      </c>
      <c r="F48" s="15">
        <f>' B2级比赛 '!F48*5</f>
        <v>163</v>
      </c>
      <c r="G48" s="15">
        <f>' B2级比赛 '!G48*5</f>
        <v>135.833333333333</v>
      </c>
      <c r="H48" s="15">
        <f>' B2级比赛 '!H48*5</f>
        <v>116.428571428571</v>
      </c>
      <c r="I48" s="15">
        <f>' B2级比赛 '!I48*5</f>
        <v>101.875</v>
      </c>
      <c r="J48" s="15">
        <f>' B2级比赛 '!J48*5</f>
        <v>90.5555555555556</v>
      </c>
      <c r="K48" s="15">
        <f>' B2级比赛 '!K48*5</f>
        <v>81.5</v>
      </c>
      <c r="L48" s="15">
        <f>' B2级比赛 '!L48*5</f>
        <v>74.0909090909091</v>
      </c>
      <c r="M48" s="15">
        <f>' B2级比赛 '!M48*5</f>
        <v>67.9166666666667</v>
      </c>
      <c r="N48" s="15">
        <f>' B2级比赛 '!N48*5</f>
        <v>62.6923076923077</v>
      </c>
      <c r="O48" s="15">
        <f>' B2级比赛 '!O48*5</f>
        <v>58.2142857142857</v>
      </c>
      <c r="P48" s="12">
        <f>' B2级比赛 '!P48*5</f>
        <v>54.3333333333333</v>
      </c>
      <c r="Q48" s="12">
        <f>' B2级比赛 '!Q48*5</f>
        <v>50.9375</v>
      </c>
      <c r="R48" s="12">
        <f>' B2级比赛 '!R48*5</f>
        <v>47.9411764705882</v>
      </c>
      <c r="S48" s="12">
        <f>' B2级比赛 '!S48*5</f>
        <v>45.2777777777778</v>
      </c>
      <c r="T48" s="12">
        <f>' B2级比赛 '!T48*5</f>
        <v>42.8947368421053</v>
      </c>
      <c r="U48" s="12">
        <f>' B2级比赛 '!U48*5</f>
        <v>40.75</v>
      </c>
      <c r="V48" s="12">
        <f>' B2级比赛 '!V48*5</f>
        <v>38.8095238095238</v>
      </c>
      <c r="W48" s="12">
        <f>' B2级比赛 '!W48*5</f>
        <v>37.0454545454545</v>
      </c>
      <c r="X48" s="12">
        <f>' B2级比赛 '!X48*5</f>
        <v>35.4347826086957</v>
      </c>
      <c r="Y48" s="12">
        <f>' B2级比赛 '!Y48*5</f>
        <v>33.9583333333333</v>
      </c>
      <c r="Z48" s="12">
        <f>' B2级比赛 '!Z48*5</f>
        <v>32.6</v>
      </c>
      <c r="AA48" s="12">
        <f>' B2级比赛 '!AA48*5</f>
        <v>31.3461538461538</v>
      </c>
      <c r="AB48" s="12">
        <f>' B2级比赛 '!AB48*5</f>
        <v>30.1851851851852</v>
      </c>
      <c r="AC48" s="12">
        <f>' B2级比赛 '!AC48*5</f>
        <v>29.1071428571429</v>
      </c>
      <c r="AD48" s="12">
        <f>' B2级比赛 '!AD48*5</f>
        <v>28.1034482758621</v>
      </c>
      <c r="AE48" s="12">
        <f>' B2级比赛 '!AE48*5</f>
        <v>27.1666666666667</v>
      </c>
      <c r="AF48" s="12">
        <f>' B2级比赛 '!AF48*5</f>
        <v>26.2903225806452</v>
      </c>
      <c r="AG48" s="12">
        <f>' B2级比赛 '!AG48*5</f>
        <v>25.46875</v>
      </c>
      <c r="AH48" s="12">
        <f>' B2级比赛 '!AH48*5</f>
        <v>24.6969696969697</v>
      </c>
      <c r="AI48" s="12">
        <f>' B2级比赛 '!AI48*5</f>
        <v>23.9705882352941</v>
      </c>
      <c r="AJ48" s="12">
        <f>' B2级比赛 '!AJ48*5</f>
        <v>23.2857142857143</v>
      </c>
      <c r="AK48" s="12">
        <f>' B2级比赛 '!AK48*5</f>
        <v>22.6388888888889</v>
      </c>
      <c r="AL48" s="12">
        <f>' B2级比赛 '!AL48*5</f>
        <v>22.027027027027</v>
      </c>
      <c r="AM48" s="12">
        <f>' B2级比赛 '!AM48*5</f>
        <v>21.4473684210526</v>
      </c>
      <c r="AN48" s="12">
        <f>' B2级比赛 '!AN48*5</f>
        <v>20.8974358974359</v>
      </c>
      <c r="AO48" s="12">
        <f>' B2级比赛 '!AO48*5</f>
        <v>20.375</v>
      </c>
      <c r="AP48" s="12">
        <f>' B2级比赛 '!AP48*5</f>
        <v>19.8780487804878</v>
      </c>
      <c r="AQ48" s="12">
        <f>' B2级比赛 '!AQ48*5</f>
        <v>19.4047619047619</v>
      </c>
      <c r="AR48" s="12">
        <f>' B2级比赛 '!AR48*5</f>
        <v>18.953488372093</v>
      </c>
      <c r="AS48" s="12">
        <f>' B2级比赛 '!AS48*5</f>
        <v>18.5227272727273</v>
      </c>
      <c r="AT48" s="12">
        <f>' B2级比赛 '!AT48*5</f>
        <v>18.1111111111111</v>
      </c>
      <c r="AU48" s="12">
        <f>' B2级比赛 '!AU48*5</f>
        <v>17.7173913043478</v>
      </c>
      <c r="AV48" s="12">
        <f>' B2级比赛 '!AV48*5</f>
        <v>17.3404255319149</v>
      </c>
      <c r="AW48" s="12">
        <f>' B2级比赛 '!AW48*5</f>
        <v>16.9791666666667</v>
      </c>
      <c r="AX48" s="12">
        <f>' B2级比赛 '!AX48*5</f>
        <v>16.6326530612245</v>
      </c>
      <c r="AY48" s="12">
        <f>' B2级比赛 '!AY48*5</f>
        <v>16.3</v>
      </c>
      <c r="AZ48" s="18">
        <f>' B2级比赛 '!AZ48*5</f>
        <v>15.9803921568627</v>
      </c>
      <c r="BA48" s="18">
        <f>' B2级比赛 '!BA48*5</f>
        <v>10.7236842105263</v>
      </c>
      <c r="BB48" s="18">
        <f>' B2级比赛 '!BB48*5</f>
        <v>8.06930693069307</v>
      </c>
      <c r="BC48" s="18">
        <f>' B2级比赛 '!BC48*5</f>
        <v>5.39735099337748</v>
      </c>
      <c r="BD48" s="21">
        <f>' B2级比赛 '!BD48*5</f>
        <v>5388.12048946007</v>
      </c>
      <c r="BE48" s="20">
        <f>' B2级比赛 '!BE48*5</f>
        <v>8.04197087979115</v>
      </c>
      <c r="BF48" s="18">
        <f>' B2级比赛 '!BF48*5</f>
        <v>0</v>
      </c>
      <c r="BG48" s="18">
        <f>' B2级比赛 '!BG48*5</f>
        <v>0</v>
      </c>
      <c r="BH48" s="18"/>
      <c r="BI48" s="18"/>
      <c r="BJ48" s="18"/>
      <c r="BK48" s="18"/>
      <c r="BL48" s="18"/>
      <c r="BM48" s="18"/>
      <c r="BN48" s="23"/>
      <c r="BO48" s="23"/>
      <c r="BP48" s="23"/>
      <c r="BQ48" s="23"/>
      <c r="BR48" s="23"/>
      <c r="BS48" s="23"/>
      <c r="BT48" s="23"/>
      <c r="BU48" s="2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="2" customFormat="1" spans="1:110">
      <c r="A49" s="16" t="s">
        <v>111</v>
      </c>
      <c r="B49" s="17">
        <f>' B2级比赛 '!B49*5</f>
        <v>1130</v>
      </c>
      <c r="C49" s="17">
        <f>' B2级比赛 '!C49*5</f>
        <v>791</v>
      </c>
      <c r="D49" s="17">
        <f>' B2级比赛 '!D49*5</f>
        <v>565</v>
      </c>
      <c r="E49" s="17">
        <f>' B2级比赛 '!E49*5</f>
        <v>395.5</v>
      </c>
      <c r="F49" s="17">
        <f>' B2级比赛 '!F49*5</f>
        <v>226</v>
      </c>
      <c r="G49" s="17">
        <f>' B2级比赛 '!G49*5</f>
        <v>188.333333333333</v>
      </c>
      <c r="H49" s="17">
        <f>' B2级比赛 '!H49*5</f>
        <v>161.428571428571</v>
      </c>
      <c r="I49" s="17">
        <f>' B2级比赛 '!I49*5</f>
        <v>141.25</v>
      </c>
      <c r="J49" s="17">
        <f>' B2级比赛 '!J49*5</f>
        <v>125.555555555556</v>
      </c>
      <c r="K49" s="17">
        <f>' B2级比赛 '!K49*5</f>
        <v>113</v>
      </c>
      <c r="L49" s="17">
        <f>' B2级比赛 '!L49*5</f>
        <v>102.727272727273</v>
      </c>
      <c r="M49" s="17">
        <f>' B2级比赛 '!M49*5</f>
        <v>94.1666666666667</v>
      </c>
      <c r="N49" s="17">
        <f>' B2级比赛 '!N49*5</f>
        <v>86.9230769230769</v>
      </c>
      <c r="O49" s="17">
        <f>' B2级比赛 '!O49*5</f>
        <v>80.7142857142857</v>
      </c>
      <c r="P49" s="17">
        <f>' B2级比赛 '!P49*5</f>
        <v>75.3333333333333</v>
      </c>
      <c r="Q49" s="17">
        <f>' B2级比赛 '!Q49*5</f>
        <v>70.625</v>
      </c>
      <c r="R49" s="17">
        <f>' B2级比赛 '!R49*5</f>
        <v>66.4705882352941</v>
      </c>
      <c r="S49" s="17">
        <f>' B2级比赛 '!S49*5</f>
        <v>62.7777777777778</v>
      </c>
      <c r="T49" s="17">
        <f>' B2级比赛 '!T49*5</f>
        <v>59.4736842105263</v>
      </c>
      <c r="U49" s="17">
        <f>' B2级比赛 '!U49*5</f>
        <v>56.5</v>
      </c>
      <c r="V49" s="17">
        <f>' B2级比赛 '!V49*5</f>
        <v>53.8095238095238</v>
      </c>
      <c r="W49" s="17">
        <f>' B2级比赛 '!W49*5</f>
        <v>51.3636363636364</v>
      </c>
      <c r="X49" s="17">
        <f>' B2级比赛 '!X49*5</f>
        <v>49.1304347826087</v>
      </c>
      <c r="Y49" s="17">
        <f>' B2级比赛 '!Y49*5</f>
        <v>47.0833333333333</v>
      </c>
      <c r="Z49" s="17">
        <f>' B2级比赛 '!Z49*5</f>
        <v>45.2</v>
      </c>
      <c r="AA49" s="17">
        <f>' B2级比赛 '!AA49*5</f>
        <v>43.4615384615385</v>
      </c>
      <c r="AB49" s="17">
        <f>' B2级比赛 '!AB49*5</f>
        <v>41.8518518518518</v>
      </c>
      <c r="AC49" s="17">
        <f>' B2级比赛 '!AC49*5</f>
        <v>40.3571428571429</v>
      </c>
      <c r="AD49" s="17">
        <f>' B2级比赛 '!AD49*5</f>
        <v>38.9655172413793</v>
      </c>
      <c r="AE49" s="17">
        <f>' B2级比赛 '!AE49*5</f>
        <v>37.6666666666667</v>
      </c>
      <c r="AF49" s="17">
        <f>' B2级比赛 '!AF49*5</f>
        <v>36.4516129032258</v>
      </c>
      <c r="AG49" s="17">
        <f>' B2级比赛 '!AG49*5</f>
        <v>35.3125</v>
      </c>
      <c r="AH49" s="17">
        <f>' B2级比赛 '!AH49*5</f>
        <v>34.2424242424242</v>
      </c>
      <c r="AI49" s="17">
        <f>' B2级比赛 '!AI49*5</f>
        <v>33.2352941176471</v>
      </c>
      <c r="AJ49" s="17">
        <f>' B2级比赛 '!AJ49*5</f>
        <v>32.2857142857143</v>
      </c>
      <c r="AK49" s="17">
        <f>' B2级比赛 '!AK49*5</f>
        <v>31.3888888888889</v>
      </c>
      <c r="AL49" s="17">
        <f>' B2级比赛 '!AL49*5</f>
        <v>30.5405405405405</v>
      </c>
      <c r="AM49" s="17">
        <f>' B2级比赛 '!AM49*5</f>
        <v>29.7368421052632</v>
      </c>
      <c r="AN49" s="17">
        <f>' B2级比赛 '!AN49*5</f>
        <v>28.974358974359</v>
      </c>
      <c r="AO49" s="17">
        <f>' B2级比赛 '!AO49*5</f>
        <v>28.25</v>
      </c>
      <c r="AP49" s="17">
        <f>' B2级比赛 '!AP49*5</f>
        <v>27.5609756097561</v>
      </c>
      <c r="AQ49" s="17">
        <f>' B2级比赛 '!AQ49*5</f>
        <v>26.9047619047619</v>
      </c>
      <c r="AR49" s="17">
        <f>' B2级比赛 '!AR49*5</f>
        <v>26.2790697674419</v>
      </c>
      <c r="AS49" s="17">
        <f>' B2级比赛 '!AS49*5</f>
        <v>25.6818181818182</v>
      </c>
      <c r="AT49" s="17">
        <f>' B2级比赛 '!AT49*5</f>
        <v>25.1111111111111</v>
      </c>
      <c r="AU49" s="17">
        <f>' B2级比赛 '!AU49*5</f>
        <v>24.5652173913043</v>
      </c>
      <c r="AV49" s="17">
        <f>' B2级比赛 '!AV49*5</f>
        <v>24.0425531914894</v>
      </c>
      <c r="AW49" s="17">
        <f>' B2级比赛 '!AW49*5</f>
        <v>23.5416666666667</v>
      </c>
      <c r="AX49" s="17">
        <f>' B2级比赛 '!AX49*5</f>
        <v>23.0612244897959</v>
      </c>
      <c r="AY49" s="17">
        <f>' B2级比赛 '!AY49*5</f>
        <v>22.6</v>
      </c>
      <c r="AZ49" s="16">
        <f>' B2级比赛 '!AZ49*5</f>
        <v>22.156862745098</v>
      </c>
      <c r="BA49" s="16">
        <f>' B2级比赛 '!BA49*5</f>
        <v>14.8684210526316</v>
      </c>
      <c r="BB49" s="16">
        <f>' B2级比赛 '!BB49*5</f>
        <v>11.1881188118812</v>
      </c>
      <c r="BC49" s="16">
        <f>' B2级比赛 '!BC49*5</f>
        <v>7.48344370860927</v>
      </c>
      <c r="BD49" s="16">
        <f>' B2级比赛 '!BD49*5</f>
        <v>5.62189054726368</v>
      </c>
      <c r="BE49" s="21">
        <f>' B2级比赛 '!BE49*5</f>
        <v>8032.83464133972</v>
      </c>
      <c r="BF49" s="20">
        <f>' B2级比赛 '!BF49*5</f>
        <v>8.03283464133972</v>
      </c>
      <c r="BG49" s="18"/>
      <c r="BH49" s="18"/>
      <c r="BI49" s="18"/>
      <c r="BJ49" s="18"/>
      <c r="BK49" s="18"/>
      <c r="BL49" s="18"/>
      <c r="BM49" s="18"/>
      <c r="BN49" s="23"/>
      <c r="BO49" s="23"/>
      <c r="BP49" s="23"/>
      <c r="BQ49" s="23"/>
      <c r="BR49" s="23"/>
      <c r="BS49" s="23"/>
      <c r="BT49" s="23"/>
      <c r="BU49" s="2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>
      <c r="A50" s="11" t="s">
        <v>112</v>
      </c>
      <c r="B50" s="12">
        <f>' B2级比赛 '!B50*5</f>
        <v>1243</v>
      </c>
      <c r="C50" s="12">
        <f>' B2级比赛 '!C50*5</f>
        <v>1044.12</v>
      </c>
      <c r="D50" s="15">
        <f>' B2级比赛 '!D50*5</f>
        <v>807.95</v>
      </c>
      <c r="E50" s="15">
        <f>' B2级比赛 '!E50*5</f>
        <v>565.565</v>
      </c>
      <c r="F50" s="15">
        <f>' B2级比赛 '!F50*5</f>
        <v>323.18</v>
      </c>
      <c r="G50" s="15">
        <f>' B2级比赛 '!G50*5</f>
        <v>269.316666666667</v>
      </c>
      <c r="H50" s="15">
        <f>' B2级比赛 '!H50*5</f>
        <v>230.842857142857</v>
      </c>
      <c r="I50" s="15">
        <f>' B2级比赛 '!I50*5</f>
        <v>201.9875</v>
      </c>
      <c r="J50" s="15">
        <f>' B2级比赛 '!J50*5</f>
        <v>179.544444444444</v>
      </c>
      <c r="K50" s="15">
        <f>' B2级比赛 '!K50*5</f>
        <v>161.59</v>
      </c>
      <c r="L50" s="15">
        <f>' B2级比赛 '!L50*5</f>
        <v>146.9</v>
      </c>
      <c r="M50" s="15">
        <f>' B2级比赛 '!M50*5</f>
        <v>134.658333333333</v>
      </c>
      <c r="N50" s="15">
        <f>' B2级比赛 '!N50*5</f>
        <v>124.3</v>
      </c>
      <c r="O50" s="15">
        <f>' B2级比赛 '!O50*5</f>
        <v>115.421428571429</v>
      </c>
      <c r="P50" s="12">
        <f>' B2级比赛 '!P50*5</f>
        <v>107.726666666667</v>
      </c>
      <c r="Q50" s="12">
        <f>' B2级比赛 '!Q50*5</f>
        <v>100.99375</v>
      </c>
      <c r="R50" s="12">
        <f>' B2级比赛 '!R50*5</f>
        <v>95.0529411764706</v>
      </c>
      <c r="S50" s="12">
        <f>' B2级比赛 '!S50*5</f>
        <v>89.7722222222222</v>
      </c>
      <c r="T50" s="12">
        <f>' B2级比赛 '!T50*5</f>
        <v>85.0473684210527</v>
      </c>
      <c r="U50" s="12">
        <f>' B2级比赛 '!U50*5</f>
        <v>80.795</v>
      </c>
      <c r="V50" s="12">
        <f>' B2级比赛 '!V50*5</f>
        <v>76.9476190476191</v>
      </c>
      <c r="W50" s="12">
        <f>' B2级比赛 '!W50*5</f>
        <v>73.45</v>
      </c>
      <c r="X50" s="12">
        <f>' B2级比赛 '!X50*5</f>
        <v>70.2565217391304</v>
      </c>
      <c r="Y50" s="12">
        <f>' B2级比赛 '!Y50*5</f>
        <v>67.3291666666667</v>
      </c>
      <c r="Z50" s="12">
        <f>' B2级比赛 '!Z50*5</f>
        <v>64.636</v>
      </c>
      <c r="AA50" s="12">
        <f>' B2级比赛 '!AA50*5</f>
        <v>62.15</v>
      </c>
      <c r="AB50" s="12">
        <f>' B2级比赛 '!AB50*5</f>
        <v>59.8481481481482</v>
      </c>
      <c r="AC50" s="12">
        <f>' B2级比赛 '!AC50*5</f>
        <v>57.7107142857143</v>
      </c>
      <c r="AD50" s="12">
        <f>' B2级比赛 '!AD50*5</f>
        <v>55.7206896551724</v>
      </c>
      <c r="AE50" s="12">
        <f>' B2级比赛 '!AE50*5</f>
        <v>53.8633333333333</v>
      </c>
      <c r="AF50" s="12">
        <f>' B2级比赛 '!AF50*5</f>
        <v>52.1258064516129</v>
      </c>
      <c r="AG50" s="12">
        <f>' B2级比赛 '!AG50*5</f>
        <v>50.496875</v>
      </c>
      <c r="AH50" s="12">
        <f>' B2级比赛 '!AH50*5</f>
        <v>48.9666666666667</v>
      </c>
      <c r="AI50" s="12">
        <f>' B2级比赛 '!AI50*5</f>
        <v>43.8705882352941</v>
      </c>
      <c r="AJ50" s="12">
        <f>' B2级比赛 '!AJ50*5</f>
        <v>42.6171428571429</v>
      </c>
      <c r="AK50" s="12">
        <f>' B2级比赛 '!AK50*5</f>
        <v>41.4333333333333</v>
      </c>
      <c r="AL50" s="12">
        <f>' B2级比赛 '!AL50*5</f>
        <v>40.3135135135135</v>
      </c>
      <c r="AM50" s="12">
        <f>' B2级比赛 '!AM50*5</f>
        <v>39.2526315789474</v>
      </c>
      <c r="AN50" s="12">
        <f>' B2级比赛 '!AN50*5</f>
        <v>38.2461538461538</v>
      </c>
      <c r="AO50" s="12">
        <f>' B2级比赛 '!AO50*5</f>
        <v>37.29</v>
      </c>
      <c r="AP50" s="12">
        <f>' B2级比赛 '!AP50*5</f>
        <v>36.3804878048781</v>
      </c>
      <c r="AQ50" s="12">
        <f>' B2级比赛 '!AQ50*5</f>
        <v>35.5142857142857</v>
      </c>
      <c r="AR50" s="12">
        <f>' B2级比赛 '!AR50*5</f>
        <v>34.6883720930233</v>
      </c>
      <c r="AS50" s="12">
        <f>' B2级比赛 '!AS50*5</f>
        <v>33.9</v>
      </c>
      <c r="AT50" s="12">
        <f>' B2级比赛 '!AT50*5</f>
        <v>33.1466666666667</v>
      </c>
      <c r="AU50" s="12">
        <f>' B2级比赛 '!AU50*5</f>
        <v>32.4260869565217</v>
      </c>
      <c r="AV50" s="12">
        <f>' B2级比赛 '!AV50*5</f>
        <v>31.736170212766</v>
      </c>
      <c r="AW50" s="12">
        <f>' B2级比赛 '!AW50*5</f>
        <v>31.075</v>
      </c>
      <c r="AX50" s="12">
        <f>' B2级比赛 '!AX50*5</f>
        <v>30.4408163265306</v>
      </c>
      <c r="AY50" s="12">
        <f>' B2级比赛 '!AY50*5</f>
        <v>29.832</v>
      </c>
      <c r="AZ50" s="18">
        <f>' B2级比赛 '!AZ50*5</f>
        <v>29.2470588235294</v>
      </c>
      <c r="BA50" s="18">
        <f>' B2级比赛 '!BA50*5</f>
        <v>19.6263157894737</v>
      </c>
      <c r="BB50" s="18">
        <f>' B2级比赛 '!BB50*5</f>
        <v>14.7683168316832</v>
      </c>
      <c r="BC50" s="18">
        <f>' B2级比赛 '!BC50*5</f>
        <v>9.87814569536424</v>
      </c>
      <c r="BD50" s="18">
        <f>' B2级比赛 '!BD50*5</f>
        <v>7.42089552238806</v>
      </c>
      <c r="BE50" s="18">
        <f>' B2级比赛 '!BE50*5</f>
        <v>4.95548172757475</v>
      </c>
      <c r="BF50" s="21">
        <f>' B2级比赛 '!BF50*5</f>
        <v>11205.224185452</v>
      </c>
      <c r="BG50" s="20">
        <f>' B2级比赛 '!BG50*5</f>
        <v>8.00373156103714</v>
      </c>
      <c r="BH50" s="18"/>
      <c r="BI50" s="18"/>
      <c r="BJ50" s="18"/>
      <c r="BK50" s="18"/>
      <c r="BL50" s="18"/>
      <c r="BM50" s="18"/>
      <c r="BN50" s="23"/>
      <c r="BO50" s="23"/>
      <c r="BP50" s="23"/>
      <c r="BQ50" s="23"/>
      <c r="BR50" s="23"/>
      <c r="BS50" s="23"/>
      <c r="BT50" s="23"/>
      <c r="BU50" s="2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</row>
    <row r="51" spans="1:110">
      <c r="A51" s="11" t="s">
        <v>113</v>
      </c>
      <c r="B51" s="12">
        <f>' B2级比赛 '!B51*5</f>
        <v>1429.45</v>
      </c>
      <c r="C51" s="12">
        <f>' B2级比赛 '!C51*5</f>
        <v>1200.738</v>
      </c>
      <c r="D51" s="15">
        <f>' B2级比赛 '!D51*5</f>
        <v>857.67</v>
      </c>
      <c r="E51" s="15">
        <f>' B2级比赛 '!E51*5</f>
        <v>600.369</v>
      </c>
      <c r="F51" s="15">
        <f>' B2级比赛 '!F51*5</f>
        <v>343.068</v>
      </c>
      <c r="G51" s="15">
        <f>' B2级比赛 '!G51*5</f>
        <v>285.89</v>
      </c>
      <c r="H51" s="15">
        <f>' B2级比赛 '!H51*5</f>
        <v>245.048571428571</v>
      </c>
      <c r="I51" s="15">
        <f>' B2级比赛 '!I51*5</f>
        <v>214.4175</v>
      </c>
      <c r="J51" s="15">
        <f>' B2级比赛 '!J51*5</f>
        <v>190.593333333333</v>
      </c>
      <c r="K51" s="15">
        <f>' B2级比赛 '!K51*5</f>
        <v>171.534</v>
      </c>
      <c r="L51" s="15">
        <f>' B2级比赛 '!L51*5</f>
        <v>155.94</v>
      </c>
      <c r="M51" s="15">
        <f>' B2级比赛 '!M51*5</f>
        <v>142.945</v>
      </c>
      <c r="N51" s="15">
        <f>' B2级比赛 '!N51*5</f>
        <v>131.949230769231</v>
      </c>
      <c r="O51" s="15">
        <f>' B2级比赛 '!O51*5</f>
        <v>122.524285714286</v>
      </c>
      <c r="P51" s="12">
        <f>' B2级比赛 '!P51*5</f>
        <v>114.356</v>
      </c>
      <c r="Q51" s="12">
        <f>' B2级比赛 '!Q51*5</f>
        <v>107.20875</v>
      </c>
      <c r="R51" s="12">
        <f>' B2级比赛 '!R51*5</f>
        <v>100.902352941176</v>
      </c>
      <c r="S51" s="12">
        <f>' B2级比赛 '!S51*5</f>
        <v>95.2966666666667</v>
      </c>
      <c r="T51" s="12">
        <f>' B2级比赛 '!T51*5</f>
        <v>90.2810526315789</v>
      </c>
      <c r="U51" s="12">
        <f>' B2级比赛 '!U51*5</f>
        <v>85.767</v>
      </c>
      <c r="V51" s="12">
        <f>' B2级比赛 '!V51*5</f>
        <v>81.6828571428571</v>
      </c>
      <c r="W51" s="12">
        <f>' B2级比赛 '!W51*5</f>
        <v>77.97</v>
      </c>
      <c r="X51" s="12">
        <f>' B2级比赛 '!X51*5</f>
        <v>74.58</v>
      </c>
      <c r="Y51" s="12">
        <f>' B2级比赛 '!Y51*5</f>
        <v>71.4725</v>
      </c>
      <c r="Z51" s="12">
        <f>' B2级比赛 '!Z51*5</f>
        <v>68.6136</v>
      </c>
      <c r="AA51" s="12">
        <f>' B2级比赛 '!AA51*5</f>
        <v>65.9746153846154</v>
      </c>
      <c r="AB51" s="12">
        <f>' B2级比赛 '!AB51*5</f>
        <v>63.5311111111111</v>
      </c>
      <c r="AC51" s="12">
        <f>' B2级比赛 '!AC51*5</f>
        <v>61.2621428571429</v>
      </c>
      <c r="AD51" s="12">
        <f>' B2级比赛 '!AD51*5</f>
        <v>59.1496551724138</v>
      </c>
      <c r="AE51" s="12">
        <f>' B2级比赛 '!AE51*5</f>
        <v>57.178</v>
      </c>
      <c r="AF51" s="12">
        <f>' B2级比赛 '!AF51*5</f>
        <v>55.3335483870968</v>
      </c>
      <c r="AG51" s="12">
        <f>' B2级比赛 '!AG51*5</f>
        <v>53.604375</v>
      </c>
      <c r="AH51" s="12">
        <f>' B2级比赛 '!AH51*5</f>
        <v>51.98</v>
      </c>
      <c r="AI51" s="12">
        <f>' B2级比赛 '!AI51*5</f>
        <v>50.4511764705882</v>
      </c>
      <c r="AJ51" s="12">
        <f>' B2级比赛 '!AJ51*5</f>
        <v>49.0097142857143</v>
      </c>
      <c r="AK51" s="12">
        <f>' B2级比赛 '!AK51*5</f>
        <v>47.6483333333333</v>
      </c>
      <c r="AL51" s="12">
        <f>' B2级比赛 '!AL51*5</f>
        <v>46.3605405405405</v>
      </c>
      <c r="AM51" s="12">
        <f>' B2级比赛 '!AM51*5</f>
        <v>45.1405263157895</v>
      </c>
      <c r="AN51" s="12">
        <f>' B2级比赛 '!AN51*5</f>
        <v>43.9830769230769</v>
      </c>
      <c r="AO51" s="12">
        <f>' B2级比赛 '!AO51*5</f>
        <v>42.8835</v>
      </c>
      <c r="AP51" s="12">
        <f>' B2级比赛 '!AP51*5</f>
        <v>41.8375609756097</v>
      </c>
      <c r="AQ51" s="12">
        <f>' B2级比赛 '!AQ51*5</f>
        <v>40.8414285714286</v>
      </c>
      <c r="AR51" s="12">
        <f>' B2级比赛 '!AR51*5</f>
        <v>39.8916279069767</v>
      </c>
      <c r="AS51" s="12">
        <f>' B2级比赛 '!AS51*5</f>
        <v>38.985</v>
      </c>
      <c r="AT51" s="12">
        <f>' B2级比赛 '!AT51*5</f>
        <v>38.1186666666667</v>
      </c>
      <c r="AU51" s="12">
        <f>' B2级比赛 '!AU51*5</f>
        <v>37.29</v>
      </c>
      <c r="AV51" s="12">
        <f>' B2级比赛 '!AV51*5</f>
        <v>36.4965957446808</v>
      </c>
      <c r="AW51" s="12">
        <f>' B2级比赛 '!AW51*5</f>
        <v>35.73625</v>
      </c>
      <c r="AX51" s="12">
        <f>' B2级比赛 '!AX51*5</f>
        <v>35.0069387755102</v>
      </c>
      <c r="AY51" s="12">
        <f>' B2级比赛 '!AY51*5</f>
        <v>34.3068</v>
      </c>
      <c r="AZ51" s="18">
        <f>' B2级比赛 '!AZ51*5</f>
        <v>30.8312745098039</v>
      </c>
      <c r="BA51" s="18">
        <f>' B2级比赛 '!BA51*5</f>
        <v>20.6894078947368</v>
      </c>
      <c r="BB51" s="18">
        <f>' B2级比赛 '!BB51*5</f>
        <v>15.5682673267327</v>
      </c>
      <c r="BC51" s="18">
        <f>' B2级比赛 '!BC51*5</f>
        <v>10.4132119205298</v>
      </c>
      <c r="BD51" s="18">
        <f>' B2级比赛 '!BD51*5</f>
        <v>7.82286069651741</v>
      </c>
      <c r="BE51" s="18">
        <f>' B2级比赛 '!BE51*5</f>
        <v>5.22390365448505</v>
      </c>
      <c r="BF51" s="18">
        <f>' B2级比赛 '!BF51*5</f>
        <v>3.56471321695761</v>
      </c>
      <c r="BG51" s="21">
        <f>' B2级比赛 '!BG51*5</f>
        <v>12480.5076643226</v>
      </c>
      <c r="BH51" s="20">
        <f>' B2级比赛 '!BH51*5</f>
        <v>8.05194042859526</v>
      </c>
      <c r="BI51" s="18"/>
      <c r="BJ51" s="18"/>
      <c r="BK51" s="18"/>
      <c r="BL51" s="18"/>
      <c r="BM51" s="18"/>
      <c r="BN51" s="23"/>
      <c r="BO51" s="23"/>
      <c r="BP51" s="23"/>
      <c r="BQ51" s="23"/>
      <c r="BR51" s="23"/>
      <c r="BS51" s="23"/>
      <c r="BT51" s="23"/>
      <c r="BU51" s="2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</row>
    <row r="52" spans="1:110">
      <c r="A52" s="11" t="s">
        <v>114</v>
      </c>
      <c r="B52" s="12">
        <f>' B2级比赛 '!B52*5</f>
        <v>1643.8675</v>
      </c>
      <c r="C52" s="12">
        <f>' B2级比赛 '!C52*5</f>
        <v>1380.8487</v>
      </c>
      <c r="D52" s="15">
        <f>' B2级比赛 '!D52*5</f>
        <v>1068.513875</v>
      </c>
      <c r="E52" s="15">
        <f>' B2级比赛 '!E52*5</f>
        <v>747.9597125</v>
      </c>
      <c r="F52" s="15">
        <f>' B2级比赛 '!F52*5</f>
        <v>427.40555</v>
      </c>
      <c r="G52" s="15">
        <f>' B2级比赛 '!G52*5</f>
        <v>356.171291666667</v>
      </c>
      <c r="H52" s="15">
        <f>' B2级比赛 '!H52*5</f>
        <v>305.289678571429</v>
      </c>
      <c r="I52" s="15">
        <f>' B2级比赛 '!I52*5</f>
        <v>267.12846875</v>
      </c>
      <c r="J52" s="15">
        <f>' B2级比赛 '!J52*5</f>
        <v>219.182333333333</v>
      </c>
      <c r="K52" s="15">
        <f>' B2级比赛 '!K52*5</f>
        <v>213.702775</v>
      </c>
      <c r="L52" s="15">
        <f>' B2级比赛 '!L52*5</f>
        <v>194.27525</v>
      </c>
      <c r="M52" s="15">
        <f>' B2级比赛 '!M52*5</f>
        <v>178.085645833333</v>
      </c>
      <c r="N52" s="15">
        <f>' B2级比赛 '!N52*5</f>
        <v>164.38675</v>
      </c>
      <c r="O52" s="15">
        <f>' B2级比赛 '!O52*5</f>
        <v>152.644839285714</v>
      </c>
      <c r="P52" s="12">
        <f>' B2级比赛 '!P52*5</f>
        <v>142.468516666667</v>
      </c>
      <c r="Q52" s="12">
        <f>' B2级比赛 '!Q52*5</f>
        <v>133.564234375</v>
      </c>
      <c r="R52" s="12">
        <f>' B2级比赛 '!R52*5</f>
        <v>125.707514705882</v>
      </c>
      <c r="S52" s="12">
        <f>' B2级比赛 '!S52*5</f>
        <v>118.723763888889</v>
      </c>
      <c r="T52" s="12">
        <f>' B2级比赛 '!T52*5</f>
        <v>112.475144736842</v>
      </c>
      <c r="U52" s="12">
        <f>' B2级比赛 '!U52*5</f>
        <v>106.8513875</v>
      </c>
      <c r="V52" s="12">
        <f>' B2级比赛 '!V52*5</f>
        <v>101.763226190476</v>
      </c>
      <c r="W52" s="12">
        <f>' B2级比赛 '!W52*5</f>
        <v>97.137625</v>
      </c>
      <c r="X52" s="12">
        <f>' B2级比赛 '!X52*5</f>
        <v>92.91425</v>
      </c>
      <c r="Y52" s="12">
        <f>' B2级比赛 '!Y52*5</f>
        <v>89.0428229166667</v>
      </c>
      <c r="Z52" s="12">
        <f>' B2级比赛 '!Z52*5</f>
        <v>85.48111</v>
      </c>
      <c r="AA52" s="12">
        <f>' B2级比赛 '!AA52*5</f>
        <v>82.193375</v>
      </c>
      <c r="AB52" s="12">
        <f>' B2级比赛 '!AB52*5</f>
        <v>79.1491759259259</v>
      </c>
      <c r="AC52" s="12">
        <f>' B2级比赛 '!AC52*5</f>
        <v>76.3224196428571</v>
      </c>
      <c r="AD52" s="12">
        <f>' B2级比赛 '!AD52*5</f>
        <v>73.6906120689655</v>
      </c>
      <c r="AE52" s="12">
        <f>' B2级比赛 '!AE52*5</f>
        <v>71.2342583333333</v>
      </c>
      <c r="AF52" s="12">
        <f>' B2级比赛 '!AF52*5</f>
        <v>68.9363790322581</v>
      </c>
      <c r="AG52" s="12">
        <f>' B2级比赛 '!AG52*5</f>
        <v>66.7821171875</v>
      </c>
      <c r="AH52" s="12">
        <f>' B2级比赛 '!AH52*5</f>
        <v>64.7584166666667</v>
      </c>
      <c r="AI52" s="12">
        <f>' B2级比赛 '!AI52*5</f>
        <v>62.8537573529412</v>
      </c>
      <c r="AJ52" s="12">
        <f>' B2级比赛 '!AJ52*5</f>
        <v>61.0579357142857</v>
      </c>
      <c r="AK52" s="12">
        <f>' B2级比赛 '!AK52*5</f>
        <v>59.3618819444444</v>
      </c>
      <c r="AL52" s="12">
        <f>' B2级比赛 '!AL52*5</f>
        <v>57.7575067567567</v>
      </c>
      <c r="AM52" s="12">
        <f>' B2级比赛 '!AM52*5</f>
        <v>56.2375723684211</v>
      </c>
      <c r="AN52" s="12">
        <f>' B2级比赛 '!AN52*5</f>
        <v>54.7955833333333</v>
      </c>
      <c r="AO52" s="12">
        <f>' B2级比赛 '!AO52*5</f>
        <v>53.42569375</v>
      </c>
      <c r="AP52" s="12">
        <f>' B2级比赛 '!AP52*5</f>
        <v>52.1226280487805</v>
      </c>
      <c r="AQ52" s="12">
        <f>' B2级比赛 '!AQ52*5</f>
        <v>50.8816130952381</v>
      </c>
      <c r="AR52" s="12">
        <f>' B2级比赛 '!AR52*5</f>
        <v>49.6983197674419</v>
      </c>
      <c r="AS52" s="12">
        <f>' B2级比赛 '!AS52*5</f>
        <v>48.5688125</v>
      </c>
      <c r="AT52" s="12">
        <f>' B2级比赛 '!AT52*5</f>
        <v>47.4895055555556</v>
      </c>
      <c r="AU52" s="12">
        <f>' B2级比赛 '!AU52*5</f>
        <v>46.457125</v>
      </c>
      <c r="AV52" s="12">
        <f>' B2级比赛 '!AV52*5</f>
        <v>45.4686755319149</v>
      </c>
      <c r="AW52" s="12">
        <f>' B2级比赛 '!AW52*5</f>
        <v>44.5214114583333</v>
      </c>
      <c r="AX52" s="12">
        <f>' B2级比赛 '!AX52*5</f>
        <v>43.6128112244898</v>
      </c>
      <c r="AY52" s="12">
        <f>' B2级比赛 '!AY52*5</f>
        <v>42.740555</v>
      </c>
      <c r="AZ52" s="18">
        <f>' B2级比赛 '!AZ52*5</f>
        <v>41.9025049019608</v>
      </c>
      <c r="BA52" s="18">
        <f>' B2级比赛 '!BA52*5</f>
        <v>28.1187861842105</v>
      </c>
      <c r="BB52" s="18">
        <f>' B2级比赛 '!BB52*5</f>
        <v>19.531099009901</v>
      </c>
      <c r="BC52" s="18">
        <f>' B2级比赛 '!BC52*5</f>
        <v>13.0638476821192</v>
      </c>
      <c r="BD52" s="18">
        <f>' B2级比赛 '!BD52*5</f>
        <v>8.99628980099502</v>
      </c>
      <c r="BE52" s="18">
        <f>' B2级比赛 '!BE52*5</f>
        <v>6.00748920265781</v>
      </c>
      <c r="BF52" s="18">
        <f>' B2级比赛 '!BF52*5</f>
        <v>4.09942019950125</v>
      </c>
      <c r="BG52" s="18">
        <f>' B2级比赛 '!BG52*5</f>
        <v>3.28117265469062</v>
      </c>
      <c r="BH52" s="21">
        <f>' B2级比赛 '!BH52*5</f>
        <v>16096.6028039237</v>
      </c>
      <c r="BI52" s="20">
        <f>' B2级比赛 '!BI52*5</f>
        <v>8.04830140196185</v>
      </c>
      <c r="BJ52" s="18"/>
      <c r="BK52" s="18"/>
      <c r="BL52" s="18"/>
      <c r="BM52" s="18"/>
      <c r="BN52" s="23"/>
      <c r="BO52" s="23"/>
      <c r="BP52" s="23"/>
      <c r="BQ52" s="23"/>
      <c r="BR52" s="23"/>
      <c r="BS52" s="23"/>
      <c r="BT52" s="23"/>
      <c r="BU52" s="2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>
      <c r="A53" s="11" t="s">
        <v>115</v>
      </c>
      <c r="B53" s="12">
        <f>' B2级比赛 '!B53*5</f>
        <v>1890.447625</v>
      </c>
      <c r="C53" s="12">
        <f>' B2级比赛 '!C53*5</f>
        <v>1720.30733875</v>
      </c>
      <c r="D53" s="15">
        <f>' B2级比赛 '!D53*5</f>
        <v>1417.83571875</v>
      </c>
      <c r="E53" s="15">
        <f>' B2级比赛 '!E53*5</f>
        <v>1124.816336875</v>
      </c>
      <c r="F53" s="15">
        <f>' B2级比赛 '!F53*5</f>
        <v>642.7521925</v>
      </c>
      <c r="G53" s="15">
        <f>' B2级比赛 '!G53*5</f>
        <v>535.626827083333</v>
      </c>
      <c r="H53" s="15">
        <f>' B2级比赛 '!H53*5</f>
        <v>459.108708928571</v>
      </c>
      <c r="I53" s="15">
        <f>' B2级比赛 '!I53*5</f>
        <v>401.7201203125</v>
      </c>
      <c r="J53" s="15">
        <f>' B2级比赛 '!J53*5</f>
        <v>357.084551388889</v>
      </c>
      <c r="K53" s="15">
        <f>' B2级比赛 '!K53*5</f>
        <v>321.37609625</v>
      </c>
      <c r="L53" s="15">
        <f>' B2级比赛 '!L53*5</f>
        <v>292.1600875</v>
      </c>
      <c r="M53" s="15">
        <f>' B2级比赛 '!M53*5</f>
        <v>267.813413541667</v>
      </c>
      <c r="N53" s="15">
        <f>' B2级比赛 '!N53*5</f>
        <v>247.212381730769</v>
      </c>
      <c r="O53" s="15">
        <f>' B2级比赛 '!O53*5</f>
        <v>229.554354464286</v>
      </c>
      <c r="P53" s="12">
        <f>' B2级比赛 '!P53*5</f>
        <v>214.250730833333</v>
      </c>
      <c r="Q53" s="12">
        <f>' B2级比赛 '!Q53*5</f>
        <v>200.86006015625</v>
      </c>
      <c r="R53" s="12">
        <f>' B2级比赛 '!R53*5</f>
        <v>166.804202205882</v>
      </c>
      <c r="S53" s="12">
        <f>' B2级比赛 '!S53*5</f>
        <v>178.542275694444</v>
      </c>
      <c r="T53" s="12">
        <f>' B2级比赛 '!T53*5</f>
        <v>169.145313815789</v>
      </c>
      <c r="U53" s="12">
        <f>' B2级比赛 '!U53*5</f>
        <v>160.688048125</v>
      </c>
      <c r="V53" s="12">
        <f>' B2级比赛 '!V53*5</f>
        <v>153.036236309524</v>
      </c>
      <c r="W53" s="12">
        <f>' B2级比赛 '!W53*5</f>
        <v>146.08004375</v>
      </c>
      <c r="X53" s="12">
        <f>' B2级比赛 '!X53*5</f>
        <v>139.7287375</v>
      </c>
      <c r="Y53" s="12">
        <f>' B2级比赛 '!Y53*5</f>
        <v>133.906706770833</v>
      </c>
      <c r="Z53" s="12">
        <f>' B2级比赛 '!Z53*5</f>
        <v>128.5504385</v>
      </c>
      <c r="AA53" s="12">
        <f>' B2级比赛 '!AA53*5</f>
        <v>123.606190865385</v>
      </c>
      <c r="AB53" s="12">
        <f>' B2级比赛 '!AB53*5</f>
        <v>119.028183796296</v>
      </c>
      <c r="AC53" s="12">
        <f>' B2级比赛 '!AC53*5</f>
        <v>114.777177232143</v>
      </c>
      <c r="AD53" s="12">
        <f>' B2级比赛 '!AD53*5</f>
        <v>110.819343534483</v>
      </c>
      <c r="AE53" s="12">
        <f>' B2级比赛 '!AE53*5</f>
        <v>107.125365416667</v>
      </c>
      <c r="AF53" s="12">
        <f>' B2级比赛 '!AF53*5</f>
        <v>103.669708467742</v>
      </c>
      <c r="AG53" s="12">
        <f>' B2级比赛 '!AG53*5</f>
        <v>100.430030078125</v>
      </c>
      <c r="AH53" s="12">
        <f>' B2级比赛 '!AH53*5</f>
        <v>97.3866958333333</v>
      </c>
      <c r="AI53" s="12">
        <f>' B2级比赛 '!AI53*5</f>
        <v>94.52238125</v>
      </c>
      <c r="AJ53" s="12">
        <f>' B2级比赛 '!AJ53*5</f>
        <v>91.8217417857143</v>
      </c>
      <c r="AK53" s="12">
        <f>' B2级比赛 '!AK53*5</f>
        <v>89.2711378472222</v>
      </c>
      <c r="AL53" s="12">
        <f>' B2级比赛 '!AL53*5</f>
        <v>86.8584043918919</v>
      </c>
      <c r="AM53" s="12">
        <f>' B2级比赛 '!AM53*5</f>
        <v>84.5726569078947</v>
      </c>
      <c r="AN53" s="12">
        <f>' B2级比赛 '!AN53*5</f>
        <v>82.4041272435897</v>
      </c>
      <c r="AO53" s="12">
        <f>' B2级比赛 '!AO53*5</f>
        <v>80.3440240625</v>
      </c>
      <c r="AP53" s="12">
        <f>' B2级比赛 '!AP53*5</f>
        <v>78.3844137195122</v>
      </c>
      <c r="AQ53" s="12">
        <f>' B2级比赛 '!AQ53*5</f>
        <v>72.0170523809524</v>
      </c>
      <c r="AR53" s="12">
        <f>' B2级比赛 '!AR53*5</f>
        <v>70.3422372093023</v>
      </c>
      <c r="AS53" s="12">
        <f>' B2级比赛 '!AS53*5</f>
        <v>68.74355</v>
      </c>
      <c r="AT53" s="12">
        <f>' B2级比赛 '!AT53*5</f>
        <v>67.2159155555555</v>
      </c>
      <c r="AU53" s="12">
        <f>' B2级比赛 '!AU53*5</f>
        <v>65.7547</v>
      </c>
      <c r="AV53" s="12">
        <f>' B2级比赛 '!AV53*5</f>
        <v>64.3556638297872</v>
      </c>
      <c r="AW53" s="12">
        <f>' B2级比赛 '!AW53*5</f>
        <v>63.0149208333333</v>
      </c>
      <c r="AX53" s="12">
        <f>' B2级比赛 '!AX53*5</f>
        <v>61.7289020408163</v>
      </c>
      <c r="AY53" s="12">
        <f>' B2级比赛 '!AY53*5</f>
        <v>60.494324</v>
      </c>
      <c r="AZ53" s="18">
        <f>' B2级比赛 '!AZ53*5</f>
        <v>59.3081607843137</v>
      </c>
      <c r="BA53" s="18">
        <f>' B2级比赛 '!BA53*5</f>
        <v>37.3114662828947</v>
      </c>
      <c r="BB53" s="18">
        <f>' B2级比赛 '!BB53*5</f>
        <v>28.0759548267327</v>
      </c>
      <c r="BC53" s="18">
        <f>' B2级比赛 '!BC53*5</f>
        <v>18.7792810430464</v>
      </c>
      <c r="BD53" s="18">
        <f>' B2级比赛 '!BD53*5</f>
        <v>14.1078180970149</v>
      </c>
      <c r="BE53" s="18">
        <f>' B2级比赛 '!BE53*5</f>
        <v>9.42083534053156</v>
      </c>
      <c r="BF53" s="18">
        <f>' B2级比赛 '!BF53*5</f>
        <v>7.07149984413965</v>
      </c>
      <c r="BG53" s="18">
        <f>' B2级比赛 '!BG53*5</f>
        <v>5.66002282934132</v>
      </c>
      <c r="BH53" s="18">
        <f>' B2级比赛 '!BH53*5</f>
        <v>3.7758607689747</v>
      </c>
      <c r="BI53" s="21">
        <f>' B2级比赛 '!BI53*5</f>
        <v>24035.3360929351</v>
      </c>
      <c r="BJ53" s="20">
        <f>' B2级比赛 '!BJ53*5</f>
        <v>8.01177869764503</v>
      </c>
      <c r="BK53" s="18"/>
      <c r="BL53" s="18"/>
      <c r="BM53" s="18"/>
      <c r="BN53" s="23"/>
      <c r="BO53" s="23"/>
      <c r="BP53" s="23"/>
      <c r="BQ53" s="23"/>
      <c r="BR53" s="23"/>
      <c r="BS53" s="23"/>
      <c r="BT53" s="23"/>
      <c r="BU53" s="2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>
      <c r="A54" s="6" t="s">
        <v>116</v>
      </c>
      <c r="B54" s="12">
        <f>' B2级比赛 '!B54*5</f>
        <v>2174.01476875</v>
      </c>
      <c r="C54" s="12">
        <f>' B2级比赛 '!C54*5</f>
        <v>1978.3534395625</v>
      </c>
      <c r="D54" s="15">
        <f>' B2级比赛 '!D54*5</f>
        <v>1739.211815</v>
      </c>
      <c r="E54" s="15">
        <f>' B2级比赛 '!E54*5</f>
        <v>1445.71982121875</v>
      </c>
      <c r="F54" s="15">
        <f>' B2级比赛 '!F54*5</f>
        <v>826.125612125</v>
      </c>
      <c r="G54" s="15">
        <f>' B2级比赛 '!G54*5</f>
        <v>688.438010104166</v>
      </c>
      <c r="H54" s="15">
        <f>' B2级比赛 '!H54*5</f>
        <v>590.089722946428</v>
      </c>
      <c r="I54" s="15">
        <f>' B2级比赛 '!I54*5</f>
        <v>516.328507578125</v>
      </c>
      <c r="J54" s="15">
        <f>' B2级比赛 '!J54*5</f>
        <v>458.958673402778</v>
      </c>
      <c r="K54" s="15">
        <f>' B2级比赛 '!K54*5</f>
        <v>413.0628060625</v>
      </c>
      <c r="L54" s="15">
        <f>' B2级比赛 '!L54*5</f>
        <v>375.511641875</v>
      </c>
      <c r="M54" s="15">
        <f>' B2级比赛 '!M54*5</f>
        <v>344.219005052083</v>
      </c>
      <c r="N54" s="15">
        <f>' B2级比赛 '!N54*5</f>
        <v>317.740620048077</v>
      </c>
      <c r="O54" s="15">
        <f>' B2级比赛 '!O54*5</f>
        <v>295.044861473214</v>
      </c>
      <c r="P54" s="12">
        <f>' B2级比赛 '!P54*5</f>
        <v>275.375204041667</v>
      </c>
      <c r="Q54" s="12">
        <f>' B2级比赛 '!Q54*5</f>
        <v>258.164253789062</v>
      </c>
      <c r="R54" s="12">
        <f>' B2级比赛 '!R54*5</f>
        <v>242.978121213235</v>
      </c>
      <c r="S54" s="12">
        <f>' B2级比赛 '!S54*5</f>
        <v>229.479336701389</v>
      </c>
      <c r="T54" s="12">
        <f>' B2级比赛 '!T54*5</f>
        <v>217.401476875</v>
      </c>
      <c r="U54" s="12">
        <f>' B2级比赛 '!U54*5</f>
        <v>206.53140303125</v>
      </c>
      <c r="V54" s="12">
        <f>' B2级比赛 '!V54*5</f>
        <v>196.696574315476</v>
      </c>
      <c r="W54" s="12">
        <f>' B2级比赛 '!W54*5</f>
        <v>187.7558209375</v>
      </c>
      <c r="X54" s="12">
        <f>' B2级比赛 '!X54*5</f>
        <v>179.592524375</v>
      </c>
      <c r="Y54" s="12">
        <f>' B2级比赛 '!Y54*5</f>
        <v>172.109502526042</v>
      </c>
      <c r="Z54" s="12">
        <f>' B2级比赛 '!Z54*5</f>
        <v>165.225122425</v>
      </c>
      <c r="AA54" s="12">
        <f>' B2级比赛 '!AA54*5</f>
        <v>158.870310024038</v>
      </c>
      <c r="AB54" s="12">
        <f>' B2级比赛 '!AB54*5</f>
        <v>152.986224467593</v>
      </c>
      <c r="AC54" s="12">
        <f>' B2级比赛 '!AC54*5</f>
        <v>147.522430736607</v>
      </c>
      <c r="AD54" s="12">
        <f>' B2级比赛 '!AD54*5</f>
        <v>142.435450366379</v>
      </c>
      <c r="AE54" s="12">
        <f>' B2级比赛 '!AE54*5</f>
        <v>137.687602020833</v>
      </c>
      <c r="AF54" s="12">
        <f>' B2级比赛 '!AF54*5</f>
        <v>133.246066471774</v>
      </c>
      <c r="AG54" s="12">
        <f>' B2级比赛 '!AG54*5</f>
        <v>129.082126894531</v>
      </c>
      <c r="AH54" s="12">
        <f>' B2级比赛 '!AH54*5</f>
        <v>125.170547291667</v>
      </c>
      <c r="AI54" s="12">
        <f>' B2级比赛 '!AI54*5</f>
        <v>121.489060606618</v>
      </c>
      <c r="AJ54" s="12">
        <f>' B2级比赛 '!AJ54*5</f>
        <v>118.017944589286</v>
      </c>
      <c r="AK54" s="12">
        <f>' B2级比赛 '!AK54*5</f>
        <v>114.739668350694</v>
      </c>
      <c r="AL54" s="12">
        <f>' B2级比赛 '!AL54*5</f>
        <v>111.638596233108</v>
      </c>
      <c r="AM54" s="12">
        <f>' B2级比赛 '!AM54*5</f>
        <v>108.7007384375</v>
      </c>
      <c r="AN54" s="12">
        <f>' B2级比赛 '!AN54*5</f>
        <v>105.913540016026</v>
      </c>
      <c r="AO54" s="12">
        <f>' B2级比赛 '!AO54*5</f>
        <v>103.265701515625</v>
      </c>
      <c r="AP54" s="12">
        <f>' B2级比赛 '!AP54*5</f>
        <v>100.747025868902</v>
      </c>
      <c r="AQ54" s="12">
        <f>' B2级比赛 '!AQ54*5</f>
        <v>98.3482871577381</v>
      </c>
      <c r="AR54" s="12">
        <f>' B2级比赛 '!AR54*5</f>
        <v>96.0611176889535</v>
      </c>
      <c r="AS54" s="12">
        <f>' B2级比赛 '!AS54*5</f>
        <v>93.87791046875</v>
      </c>
      <c r="AT54" s="12">
        <f>' B2级比赛 '!AT54*5</f>
        <v>91.7917346805555</v>
      </c>
      <c r="AU54" s="12">
        <f>' B2级比赛 '!AU54*5</f>
        <v>89.7962621875</v>
      </c>
      <c r="AV54" s="12">
        <f>' B2级比赛 '!AV54*5</f>
        <v>87.8857034175532</v>
      </c>
      <c r="AW54" s="12">
        <f>' B2级比赛 '!AW54*5</f>
        <v>86.0547512630208</v>
      </c>
      <c r="AX54" s="12">
        <f>' B2级比赛 '!AX54*5</f>
        <v>84.2985318494897</v>
      </c>
      <c r="AY54" s="12">
        <f>' B2级比赛 '!AY54*5</f>
        <v>82.6125612125</v>
      </c>
      <c r="AZ54" s="18">
        <f>' B2级比赛 '!AZ54*5</f>
        <v>80.9927070710784</v>
      </c>
      <c r="BA54" s="18">
        <f>' B2级比赛 '!BA54*5</f>
        <v>54.35036921875</v>
      </c>
      <c r="BB54" s="18">
        <f>' B2级比赛 '!BB54*5</f>
        <v>40.8973075309406</v>
      </c>
      <c r="BC54" s="18">
        <f>' B2级比赛 '!BC54*5</f>
        <v>27.3551527193709</v>
      </c>
      <c r="BD54" s="18">
        <f>' B2级比赛 '!BD54*5</f>
        <v>20.5503883613184</v>
      </c>
      <c r="BE54" s="18">
        <f>' B2级比赛 '!BE54*5</f>
        <v>13.7230168127076</v>
      </c>
      <c r="BF54" s="18">
        <f>' B2级比赛 '!BF54*5</f>
        <v>9.75866978491272</v>
      </c>
      <c r="BG54" s="18">
        <f>' B2级比赛 '!BG54*5</f>
        <v>7.81083150449101</v>
      </c>
      <c r="BH54" s="18">
        <f>' B2级比赛 '!BH54*5</f>
        <v>5.21068786118509</v>
      </c>
      <c r="BI54" s="18">
        <f>' B2级比赛 '!BI54*5</f>
        <v>3.6921329739011</v>
      </c>
      <c r="BJ54" s="21">
        <f>' B2级比赛 '!BJ54*5</f>
        <v>33617.2222832712</v>
      </c>
      <c r="BK54" s="20">
        <f>' B2级比赛 '!BK54*5</f>
        <v>8.004100543636</v>
      </c>
      <c r="BL54" s="18"/>
      <c r="BM54" s="18"/>
      <c r="BN54" s="23"/>
      <c r="BO54" s="23"/>
      <c r="BP54" s="23"/>
      <c r="BQ54" s="23"/>
      <c r="BR54" s="23"/>
      <c r="BS54" s="23"/>
      <c r="BT54" s="23"/>
      <c r="BU54" s="2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>
      <c r="A55" s="11" t="s">
        <v>117</v>
      </c>
      <c r="B55" s="12">
        <f>' B2级比赛 '!B55*5</f>
        <v>2500.1169840625</v>
      </c>
      <c r="C55" s="12">
        <f>' B2级比赛 '!C55*5</f>
        <v>2275.10645549687</v>
      </c>
      <c r="D55" s="15">
        <f>' B2级比赛 '!D55*5</f>
        <v>2000.09358725</v>
      </c>
      <c r="E55" s="15">
        <f>' B2级比赛 '!E55*5</f>
        <v>1837.58598328594</v>
      </c>
      <c r="F55" s="15">
        <f>' B2级比赛 '!F55*5</f>
        <v>1200.05615235</v>
      </c>
      <c r="G55" s="15">
        <f>' B2级比赛 '!G55*5</f>
        <v>1000.046793625</v>
      </c>
      <c r="H55" s="15">
        <f>' B2级比赛 '!H55*5</f>
        <v>857.182965964285</v>
      </c>
      <c r="I55" s="15">
        <f>' B2级比赛 '!I55*5</f>
        <v>750.03509521875</v>
      </c>
      <c r="J55" s="15">
        <f>' B2级比赛 '!J55*5</f>
        <v>666.697862416666</v>
      </c>
      <c r="K55" s="15">
        <f>' B2级比赛 '!K55*5</f>
        <v>600.028076175</v>
      </c>
      <c r="L55" s="15">
        <f>' B2级比赛 '!L55*5</f>
        <v>545.48006925</v>
      </c>
      <c r="M55" s="15">
        <f>' B2级比赛 '!M55*5</f>
        <v>500.0233968125</v>
      </c>
      <c r="N55" s="15">
        <f>' B2级比赛 '!N55*5</f>
        <v>461.560058596154</v>
      </c>
      <c r="O55" s="15">
        <f>' B2级比赛 '!O55*5</f>
        <v>428.591482982143</v>
      </c>
      <c r="P55" s="12">
        <f>' B2级比赛 '!P55*5</f>
        <v>400.01871745</v>
      </c>
      <c r="Q55" s="12">
        <f>' B2级比赛 '!Q55*5</f>
        <v>375.017547609375</v>
      </c>
      <c r="R55" s="12">
        <f>' B2级比赛 '!R55*5</f>
        <v>352.957691867647</v>
      </c>
      <c r="S55" s="12">
        <f>' B2级比赛 '!S55*5</f>
        <v>333.348931208333</v>
      </c>
      <c r="T55" s="12">
        <f>' B2级比赛 '!T55*5</f>
        <v>315.804250618421</v>
      </c>
      <c r="U55" s="12">
        <f>' B2级比赛 '!U55*5</f>
        <v>300.0140380875</v>
      </c>
      <c r="V55" s="12">
        <f>' B2级比赛 '!V55*5</f>
        <v>285.727655321428</v>
      </c>
      <c r="W55" s="12">
        <f>' B2级比赛 '!W55*5</f>
        <v>272.740034625</v>
      </c>
      <c r="X55" s="12">
        <f>' B2级比赛 '!X55*5</f>
        <v>260.88177225</v>
      </c>
      <c r="Y55" s="12">
        <f>' B2级比赛 '!Y55*5</f>
        <v>250.01169840625</v>
      </c>
      <c r="Z55" s="12">
        <f>' B2级比赛 '!Z55*5</f>
        <v>240.01123047</v>
      </c>
      <c r="AA55" s="12">
        <f>' B2级比赛 '!AA55*5</f>
        <v>230.780029298077</v>
      </c>
      <c r="AB55" s="12">
        <f>' B2级比赛 '!AB55*5</f>
        <v>222.232620805555</v>
      </c>
      <c r="AC55" s="12">
        <f>' B2级比赛 '!AC55*5</f>
        <v>214.295741491071</v>
      </c>
      <c r="AD55" s="12">
        <f>' B2级比赛 '!AD55*5</f>
        <v>206.906233163793</v>
      </c>
      <c r="AE55" s="12">
        <f>' B2级比赛 '!AE55*5</f>
        <v>200.009358725</v>
      </c>
      <c r="AF55" s="12">
        <f>' B2级比赛 '!AF55*5</f>
        <v>193.557443927419</v>
      </c>
      <c r="AG55" s="12">
        <f>' B2级比赛 '!AG55*5</f>
        <v>187.508773804687</v>
      </c>
      <c r="AH55" s="12">
        <f>' B2级比赛 '!AH55*5</f>
        <v>181.82668975</v>
      </c>
      <c r="AI55" s="12">
        <f>' B2级比赛 '!AI55*5</f>
        <v>176.478845933823</v>
      </c>
      <c r="AJ55" s="12">
        <f>' B2级比赛 '!AJ55*5</f>
        <v>171.436593192857</v>
      </c>
      <c r="AK55" s="12">
        <f>' B2级比赛 '!AK55*5</f>
        <v>166.674465604167</v>
      </c>
      <c r="AL55" s="12">
        <f>' B2级比赛 '!AL55*5</f>
        <v>162.169750317567</v>
      </c>
      <c r="AM55" s="12">
        <f>' B2级比赛 '!AM55*5</f>
        <v>157.90212530921</v>
      </c>
      <c r="AN55" s="12">
        <f>' B2级比赛 '!AN55*5</f>
        <v>153.853352865385</v>
      </c>
      <c r="AO55" s="12">
        <f>' B2级比赛 '!AO55*5</f>
        <v>150.00701904375</v>
      </c>
      <c r="AP55" s="12">
        <f>' B2级比赛 '!AP55*5</f>
        <v>146.348311262195</v>
      </c>
      <c r="AQ55" s="12">
        <f>' B2级比赛 '!AQ55*5</f>
        <v>142.863827660714</v>
      </c>
      <c r="AR55" s="12">
        <f>' B2级比赛 '!AR55*5</f>
        <v>139.541413063953</v>
      </c>
      <c r="AS55" s="12">
        <f>' B2级比赛 '!AS55*5</f>
        <v>136.3700173125</v>
      </c>
      <c r="AT55" s="12">
        <f>' B2级比赛 '!AT55*5</f>
        <v>133.339572483333</v>
      </c>
      <c r="AU55" s="12">
        <f>' B2级比赛 '!AU55*5</f>
        <v>130.440886125</v>
      </c>
      <c r="AV55" s="12">
        <f>' B2级比赛 '!AV55*5</f>
        <v>127.66554812234</v>
      </c>
      <c r="AW55" s="12">
        <f>' B2级比赛 '!AW55*5</f>
        <v>125.005849203125</v>
      </c>
      <c r="AX55" s="12">
        <f>' B2级比赛 '!AX55*5</f>
        <v>122.454709423469</v>
      </c>
      <c r="AY55" s="12">
        <f>' B2级比赛 '!AY55*5</f>
        <v>120.005615235</v>
      </c>
      <c r="AZ55" s="18">
        <f>' B2级比赛 '!AZ55*5</f>
        <v>117.652563955882</v>
      </c>
      <c r="BA55" s="18">
        <f>' B2级比赛 '!BA55*5</f>
        <v>78.9510626546052</v>
      </c>
      <c r="BB55" s="18">
        <f>' B2级比赛 '!BB55*5</f>
        <v>59.4087204133663</v>
      </c>
      <c r="BC55" s="18">
        <f>' B2级比赛 '!BC55*5</f>
        <v>39.7369586870861</v>
      </c>
      <c r="BD55" s="18">
        <f>' B2级比赛 '!BD55*5</f>
        <v>29.8521430932836</v>
      </c>
      <c r="BE55" s="18">
        <f>' B2级比赛 '!BE55*5</f>
        <v>19.9344875805648</v>
      </c>
      <c r="BF55" s="18">
        <f>' B2级比赛 '!BF55*5</f>
        <v>13.0928819614246</v>
      </c>
      <c r="BG55" s="18">
        <f>' B2级比赛 '!BG55*5</f>
        <v>10.4795322685254</v>
      </c>
      <c r="BH55" s="18">
        <f>' B2级比赛 '!BH55*5</f>
        <v>6.99100621375666</v>
      </c>
      <c r="BI55" s="18">
        <f>' B2级比赛 '!BI55*5</f>
        <v>5.24500066586538</v>
      </c>
      <c r="BJ55" s="18">
        <f>' B2级比赛 '!BJ55*5</f>
        <v>3.49783188976099</v>
      </c>
      <c r="BK55" s="21">
        <f>' B2级比赛 '!BK55*5</f>
        <v>48008.1901067196</v>
      </c>
      <c r="BL55" s="20">
        <f>' B2级比赛 '!BL55*5</f>
        <v>8.00136501778659</v>
      </c>
      <c r="BM55" s="18"/>
      <c r="BN55" s="23"/>
      <c r="BO55" s="23"/>
      <c r="BP55" s="23"/>
      <c r="BQ55" s="23"/>
      <c r="BR55" s="23"/>
      <c r="BS55" s="23"/>
      <c r="BT55" s="23"/>
      <c r="BU55" s="2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="2" customFormat="1" ht="21.6" spans="1:110">
      <c r="A56" s="16" t="s">
        <v>118</v>
      </c>
      <c r="B56" s="17">
        <f>' B2级比赛 '!B56*5</f>
        <v>2875.13453167187</v>
      </c>
      <c r="C56" s="17">
        <f>' B2级比赛 '!C56*5</f>
        <v>2616.3724238214</v>
      </c>
      <c r="D56" s="17">
        <f>' B2级比赛 '!D56*5</f>
        <v>2443.86435192109</v>
      </c>
      <c r="E56" s="17">
        <f>' B2级比赛 '!E56*5</f>
        <v>2213.85358938734</v>
      </c>
      <c r="F56" s="17">
        <f>' B2级比赛 '!F56*5</f>
        <v>1610.07533773625</v>
      </c>
      <c r="G56" s="17">
        <f>' B2级比赛 '!G56*5</f>
        <v>1341.72944811354</v>
      </c>
      <c r="H56" s="17">
        <f>' B2级比赛 '!H56*5</f>
        <v>1150.05381266875</v>
      </c>
      <c r="I56" s="17">
        <f>' B2级比赛 '!I56*5</f>
        <v>1006.29708608516</v>
      </c>
      <c r="J56" s="17">
        <f>' B2级比赛 '!J56*5</f>
        <v>894.486298742361</v>
      </c>
      <c r="K56" s="17">
        <f>' B2级比赛 '!K56*5</f>
        <v>805.037668868125</v>
      </c>
      <c r="L56" s="17">
        <f>' B2级比赛 '!L56*5</f>
        <v>731.85242624375</v>
      </c>
      <c r="M56" s="17">
        <f>' B2级比赛 '!M56*5</f>
        <v>670.864724056771</v>
      </c>
      <c r="N56" s="17">
        <f>' B2级比赛 '!N56*5</f>
        <v>619.259745283173</v>
      </c>
      <c r="O56" s="17">
        <f>' B2级比赛 '!O56*5</f>
        <v>575.026906334375</v>
      </c>
      <c r="P56" s="17">
        <f>' B2级比赛 '!P56*5</f>
        <v>536.691779245416</v>
      </c>
      <c r="Q56" s="17">
        <f>' B2级比赛 '!Q56*5</f>
        <v>503.148543042578</v>
      </c>
      <c r="R56" s="17">
        <f>' B2级比赛 '!R56*5</f>
        <v>473.551569922426</v>
      </c>
      <c r="S56" s="17">
        <f>' B2级比赛 '!S56*5</f>
        <v>447.24314937118</v>
      </c>
      <c r="T56" s="17">
        <f>' B2级比赛 '!T56*5</f>
        <v>423.704036246381</v>
      </c>
      <c r="U56" s="17">
        <f>' B2级比赛 '!U56*5</f>
        <v>402.518834434062</v>
      </c>
      <c r="V56" s="17">
        <f>' B2级比赛 '!V56*5</f>
        <v>383.351270889583</v>
      </c>
      <c r="W56" s="17">
        <f>' B2级比赛 '!W56*5</f>
        <v>365.926213121875</v>
      </c>
      <c r="X56" s="17">
        <f>' B2级比赛 '!X56*5</f>
        <v>350.01637776875</v>
      </c>
      <c r="Y56" s="17">
        <f>' B2级比赛 '!Y56*5</f>
        <v>335.432362028385</v>
      </c>
      <c r="Z56" s="17">
        <f>' B2级比赛 '!Z56*5</f>
        <v>322.01506754725</v>
      </c>
      <c r="AA56" s="17">
        <f>' B2级比赛 '!AA56*5</f>
        <v>309.629872641586</v>
      </c>
      <c r="AB56" s="17">
        <f>' B2级比赛 '!AB56*5</f>
        <v>298.162099580787</v>
      </c>
      <c r="AC56" s="17">
        <f>' B2级比赛 '!AC56*5</f>
        <v>287.513453167187</v>
      </c>
      <c r="AD56" s="17">
        <f>' B2级比赛 '!AD56*5</f>
        <v>277.599196161422</v>
      </c>
      <c r="AE56" s="17">
        <f>' B2级比赛 '!AE56*5</f>
        <v>268.345889622708</v>
      </c>
      <c r="AF56" s="17">
        <f>' B2级比赛 '!AF56*5</f>
        <v>259.689570602621</v>
      </c>
      <c r="AG56" s="17">
        <f>' B2级比赛 '!AG56*5</f>
        <v>251.574271521289</v>
      </c>
      <c r="AH56" s="17">
        <f>' B2级比赛 '!AH56*5</f>
        <v>243.950808747917</v>
      </c>
      <c r="AI56" s="17">
        <f>' B2级比赛 '!AI56*5</f>
        <v>236.775784961213</v>
      </c>
      <c r="AJ56" s="17">
        <f>' B2级比赛 '!AJ56*5</f>
        <v>230.01076253375</v>
      </c>
      <c r="AK56" s="17">
        <f>' B2级比赛 '!AK56*5</f>
        <v>223.62157468559</v>
      </c>
      <c r="AL56" s="17">
        <f>' B2级比赛 '!AL56*5</f>
        <v>217.577748342736</v>
      </c>
      <c r="AM56" s="17">
        <f>' B2级比赛 '!AM56*5</f>
        <v>211.852018123191</v>
      </c>
      <c r="AN56" s="17">
        <f>' B2级比赛 '!AN56*5</f>
        <v>206.419915094391</v>
      </c>
      <c r="AO56" s="17">
        <f>' B2级比赛 '!AO56*5</f>
        <v>201.259417217031</v>
      </c>
      <c r="AP56" s="17">
        <f>' B2级比赛 '!AP56*5</f>
        <v>196.350650943445</v>
      </c>
      <c r="AQ56" s="17">
        <f>' B2级比赛 '!AQ56*5</f>
        <v>191.675635444792</v>
      </c>
      <c r="AR56" s="17">
        <f>' B2级比赛 '!AR56*5</f>
        <v>187.218062527471</v>
      </c>
      <c r="AS56" s="17">
        <f>' B2级比赛 '!AS56*5</f>
        <v>182.963106560937</v>
      </c>
      <c r="AT56" s="17">
        <f>' B2级比赛 '!AT56*5</f>
        <v>178.897259748472</v>
      </c>
      <c r="AU56" s="17">
        <f>' B2级比赛 '!AU56*5</f>
        <v>175.008188884375</v>
      </c>
      <c r="AV56" s="17">
        <f>' B2级比赛 '!AV56*5</f>
        <v>171.284610397473</v>
      </c>
      <c r="AW56" s="17">
        <f>' B2级比赛 '!AW56*5</f>
        <v>167.716181014193</v>
      </c>
      <c r="AX56" s="17">
        <f>' B2级比赛 '!AX56*5</f>
        <v>164.293401809821</v>
      </c>
      <c r="AY56" s="17">
        <f>' B2级比赛 '!AY56*5</f>
        <v>161.007533773625</v>
      </c>
      <c r="AZ56" s="16">
        <f>' B2级比赛 '!AZ56*5</f>
        <v>157.850523307475</v>
      </c>
      <c r="BA56" s="16">
        <f>' B2级比赛 '!BA56*5</f>
        <v>105.926009061595</v>
      </c>
      <c r="BB56" s="16">
        <f>' B2级比赛 '!BB56*5</f>
        <v>79.7066998879331</v>
      </c>
      <c r="BC56" s="16">
        <f>' B2级比赛 '!BC56*5</f>
        <v>53.3137529051738</v>
      </c>
      <c r="BD56" s="16">
        <f>' B2级比赛 '!BD56*5</f>
        <v>40.0516253168221</v>
      </c>
      <c r="BE56" s="16">
        <f>' B2级比赛 '!BE56*5</f>
        <v>26.7454375039244</v>
      </c>
      <c r="BF56" s="16">
        <f>' B2级比赛 '!BF56*5</f>
        <v>20.075752340851</v>
      </c>
      <c r="BG56" s="16">
        <f>' B2级比赛 '!BG56*5</f>
        <v>16.0686161450724</v>
      </c>
      <c r="BH56" s="16">
        <f>' B2级比赛 '!BH56*5</f>
        <v>10.7195428610935</v>
      </c>
      <c r="BI56" s="16">
        <f>' B2级比赛 '!BI56*5</f>
        <v>8.04233435432692</v>
      </c>
      <c r="BJ56" s="16">
        <f>' B2级比赛 '!BJ56*5</f>
        <v>4.78869842050612</v>
      </c>
      <c r="BK56" s="16">
        <f>' B2级比赛 '!BK56*5</f>
        <v>3.59212210353807</v>
      </c>
      <c r="BL56" s="25">
        <f>' B2级比赛 '!BL56*5</f>
        <v>68235.3002761978</v>
      </c>
      <c r="BM56" s="20" t="e">
        <f>' B2级比赛 '!#REF!*5</f>
        <v>#REF!</v>
      </c>
      <c r="BN56" s="23"/>
      <c r="BO56" s="23"/>
      <c r="BP56" s="23"/>
      <c r="BQ56" s="23"/>
      <c r="BR56" s="23"/>
      <c r="BS56" s="23"/>
      <c r="BT56" s="23"/>
      <c r="BU56" s="2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ht="21.6" spans="1:110">
      <c r="A57" s="11" t="s">
        <v>119</v>
      </c>
      <c r="B57" s="12">
        <f>' B2级比赛 '!B57*5</f>
        <v>3162.64798483906</v>
      </c>
      <c r="C57" s="12">
        <f>' B2级比赛 '!C57*5</f>
        <v>2878.00966620355</v>
      </c>
      <c r="D57" s="15">
        <f>' B2级比赛 '!D57*5</f>
        <v>2688.2507871132</v>
      </c>
      <c r="E57" s="15">
        <f>' B2级比赛 '!E57*5</f>
        <v>2435.23894832608</v>
      </c>
      <c r="F57" s="15">
        <f>' B2级比赛 '!F57*5</f>
        <v>2150.60062969056</v>
      </c>
      <c r="G57" s="15">
        <f>' B2级比赛 '!G57*5</f>
        <v>1897.58879090344</v>
      </c>
      <c r="H57" s="15">
        <f>' B2级比赛 '!H57*5</f>
        <v>1626.50467791723</v>
      </c>
      <c r="I57" s="15">
        <f>' B2级比赛 '!I57*5</f>
        <v>1423.19159317758</v>
      </c>
      <c r="J57" s="15">
        <f>' B2级比赛 '!J57*5</f>
        <v>1265.05919393562</v>
      </c>
      <c r="K57" s="15">
        <f>' B2级比赛 '!K57*5</f>
        <v>1138.55327454206</v>
      </c>
      <c r="L57" s="15">
        <f>' B2级比赛 '!L57*5</f>
        <v>1035.04843140187</v>
      </c>
      <c r="M57" s="15">
        <f>' B2级比赛 '!M57*5</f>
        <v>948.794395451718</v>
      </c>
      <c r="N57" s="15">
        <f>' B2级比赛 '!N57*5</f>
        <v>875.810211186202</v>
      </c>
      <c r="O57" s="15">
        <f>' B2级比赛 '!O57*5</f>
        <v>813.252338958616</v>
      </c>
      <c r="P57" s="12">
        <f>' B2级比赛 '!P57*5</f>
        <v>759.035516361375</v>
      </c>
      <c r="Q57" s="12">
        <f>' B2级比赛 '!Q57*5</f>
        <v>711.595796588789</v>
      </c>
      <c r="R57" s="12">
        <f>' B2级比赛 '!R57*5</f>
        <v>669.73722031886</v>
      </c>
      <c r="S57" s="12">
        <f>' B2级比赛 '!S57*5</f>
        <v>632.529596967812</v>
      </c>
      <c r="T57" s="12">
        <f>' B2级比赛 '!T57*5</f>
        <v>599.238565548454</v>
      </c>
      <c r="U57" s="12">
        <f>' B2级比赛 '!U57*5</f>
        <v>569.276637271031</v>
      </c>
      <c r="V57" s="12">
        <f>' B2级比赛 '!V57*5</f>
        <v>542.168225972411</v>
      </c>
      <c r="W57" s="12">
        <f>' B2级比赛 '!W57*5</f>
        <v>517.524215700937</v>
      </c>
      <c r="X57" s="12">
        <f>' B2级比赛 '!X57*5</f>
        <v>495.023162844375</v>
      </c>
      <c r="Y57" s="12">
        <f>' B2级比赛 '!Y57*5</f>
        <v>474.397197725859</v>
      </c>
      <c r="Z57" s="12">
        <f>' B2级比赛 '!Z57*5</f>
        <v>442.770717877469</v>
      </c>
      <c r="AA57" s="12">
        <f>' B2级比赛 '!AA57*5</f>
        <v>425.741074882181</v>
      </c>
      <c r="AB57" s="12">
        <f>' B2级比赛 '!AB57*5</f>
        <v>409.972886923582</v>
      </c>
      <c r="AC57" s="12">
        <f>' B2级比赛 '!AC57*5</f>
        <v>395.330998104883</v>
      </c>
      <c r="AD57" s="12">
        <f>' B2级比赛 '!AD57*5</f>
        <v>381.698894721956</v>
      </c>
      <c r="AE57" s="12">
        <f>' B2级比赛 '!AE57*5</f>
        <v>368.975598231224</v>
      </c>
      <c r="AF57" s="12">
        <f>' B2级比赛 '!AF57*5</f>
        <v>357.073159578604</v>
      </c>
      <c r="AG57" s="12">
        <f>' B2级比赛 '!AG57*5</f>
        <v>345.914623341772</v>
      </c>
      <c r="AH57" s="12">
        <f>' B2级比赛 '!AH57*5</f>
        <v>335.432362028385</v>
      </c>
      <c r="AI57" s="12">
        <f>' B2级比赛 '!AI57*5</f>
        <v>325.566704321668</v>
      </c>
      <c r="AJ57" s="12">
        <f>' B2级比赛 '!AJ57*5</f>
        <v>316.264798483906</v>
      </c>
      <c r="AK57" s="12">
        <f>' B2级比赛 '!AK57*5</f>
        <v>307.479665192687</v>
      </c>
      <c r="AL57" s="12">
        <f>' B2级比赛 '!AL57*5</f>
        <v>299.169403971263</v>
      </c>
      <c r="AM57" s="12">
        <f>' B2级比赛 '!AM57*5</f>
        <v>291.296524919387</v>
      </c>
      <c r="AN57" s="12">
        <f>' B2级比赛 '!AN57*5</f>
        <v>283.827383254788</v>
      </c>
      <c r="AO57" s="12">
        <f>' B2级比赛 '!AO57*5</f>
        <v>276.731698673418</v>
      </c>
      <c r="AP57" s="12">
        <f>' B2级比赛 '!AP57*5</f>
        <v>269.982145047237</v>
      </c>
      <c r="AQ57" s="12">
        <f>' B2级比赛 '!AQ57*5</f>
        <v>263.553998736588</v>
      </c>
      <c r="AR57" s="12">
        <f>' B2级比赛 '!AR57*5</f>
        <v>257.424835975272</v>
      </c>
      <c r="AS57" s="12">
        <f>' B2级比赛 '!AS57*5</f>
        <v>251.574271521289</v>
      </c>
      <c r="AT57" s="12">
        <f>' B2级比赛 '!AT57*5</f>
        <v>245.983732154149</v>
      </c>
      <c r="AU57" s="12">
        <f>' B2级比赛 '!AU57*5</f>
        <v>240.636259716016</v>
      </c>
      <c r="AV57" s="12">
        <f>' B2级比赛 '!AV57*5</f>
        <v>235.516339296526</v>
      </c>
      <c r="AW57" s="12">
        <f>' B2级比赛 '!AW57*5</f>
        <v>230.609748894515</v>
      </c>
      <c r="AX57" s="12">
        <f>' B2级比赛 '!AX57*5</f>
        <v>225.903427488504</v>
      </c>
      <c r="AY57" s="12">
        <f>' B2级比赛 '!AY57*5</f>
        <v>221.385358938734</v>
      </c>
      <c r="AZ57" s="18">
        <f>' B2级比赛 '!AZ57*5</f>
        <v>217.044469547779</v>
      </c>
      <c r="BA57" s="18">
        <f>' B2级比赛 '!BA57*5</f>
        <v>145.648262459694</v>
      </c>
      <c r="BB57" s="18">
        <f>' B2级比赛 '!BB57*5</f>
        <v>109.596712345908</v>
      </c>
      <c r="BC57" s="18">
        <f>' B2级比赛 '!BC57*5</f>
        <v>73.306410244614</v>
      </c>
      <c r="BD57" s="18">
        <f>' B2级比赛 '!BD57*5</f>
        <v>55.0709848106304</v>
      </c>
      <c r="BE57" s="18">
        <f>' B2级比赛 '!BE57*5</f>
        <v>36.7749765678961</v>
      </c>
      <c r="BF57" s="18">
        <f>' B2级比赛 '!BF57*5</f>
        <v>27.6041594686701</v>
      </c>
      <c r="BG57" s="18">
        <f>' B2级比赛 '!BG57*5</f>
        <v>22.0943471994745</v>
      </c>
      <c r="BH57" s="18">
        <f>' B2级比赛 '!BH57*5</f>
        <v>14.7393714340036</v>
      </c>
      <c r="BI57" s="18">
        <f>' B2级比赛 '!BI57*5</f>
        <v>11.0582097371995</v>
      </c>
      <c r="BJ57" s="18">
        <f>' B2级比赛 '!BJ57*5</f>
        <v>7.37459556757942</v>
      </c>
      <c r="BK57" s="18">
        <f>' B2级比赛 '!BK57*5</f>
        <v>5.53186803944863</v>
      </c>
      <c r="BL57" s="18">
        <f>' B2级比赛 '!BL57*5</f>
        <v>3.58314000281666</v>
      </c>
      <c r="BM57" s="21" t="e">
        <f>' B2级比赛 '!#REF!*5</f>
        <v>#REF!</v>
      </c>
      <c r="BN57" s="23"/>
      <c r="BO57" s="23"/>
      <c r="BP57" s="23"/>
      <c r="BQ57" s="23"/>
      <c r="BR57" s="23"/>
      <c r="BS57" s="23"/>
      <c r="BT57" s="23"/>
      <c r="BU57" s="2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="4" customFormat="1" ht="21.6" spans="1:110">
      <c r="A58" s="11" t="s">
        <v>120</v>
      </c>
      <c r="B58" s="12">
        <f>' B2级比赛 '!B58*5</f>
        <v>3162.64798483906</v>
      </c>
      <c r="C58" s="12">
        <f>' B2级比赛 '!C58*5</f>
        <v>2878.00966620355</v>
      </c>
      <c r="D58" s="15">
        <f>' B2级比赛 '!D58*5</f>
        <v>2688.2507871132</v>
      </c>
      <c r="E58" s="15">
        <f>' B2级比赛 '!E58*5</f>
        <v>2435.23894832608</v>
      </c>
      <c r="F58" s="15">
        <f>' B2级比赛 '!F58*5</f>
        <v>2150.60062969056</v>
      </c>
      <c r="G58" s="15">
        <f>' B2级比赛 '!G58*5</f>
        <v>1897.58879090344</v>
      </c>
      <c r="H58" s="15">
        <f>' B2级比赛 '!H58*5</f>
        <v>1626.50467791723</v>
      </c>
      <c r="I58" s="15">
        <f>' B2级比赛 '!I58*5</f>
        <v>1423.19159317758</v>
      </c>
      <c r="J58" s="15">
        <f>' B2级比赛 '!J58*5</f>
        <v>1265.05919393562</v>
      </c>
      <c r="K58" s="15">
        <f>' B2级比赛 '!K58*5</f>
        <v>1138.55327454206</v>
      </c>
      <c r="L58" s="15">
        <f>' B2级比赛 '!L58*5</f>
        <v>1035.04843140187</v>
      </c>
      <c r="M58" s="15">
        <f>' B2级比赛 '!M58*5</f>
        <v>948.794395451718</v>
      </c>
      <c r="N58" s="15">
        <f>' B2级比赛 '!N58*5</f>
        <v>875.810211186202</v>
      </c>
      <c r="O58" s="15">
        <f>' B2级比赛 '!O58*5</f>
        <v>813.252338958616</v>
      </c>
      <c r="P58" s="12">
        <f>' B2级比赛 '!P58*5</f>
        <v>759.035516361375</v>
      </c>
      <c r="Q58" s="12">
        <f>' B2级比赛 '!Q58*5</f>
        <v>711.595796588789</v>
      </c>
      <c r="R58" s="12">
        <f>' B2级比赛 '!R58*5</f>
        <v>669.73722031886</v>
      </c>
      <c r="S58" s="12">
        <f>' B2级比赛 '!S58*5</f>
        <v>632.529596967812</v>
      </c>
      <c r="T58" s="12">
        <f>' B2级比赛 '!T58*5</f>
        <v>599.238565548454</v>
      </c>
      <c r="U58" s="12">
        <f>' B2级比赛 '!U58*5</f>
        <v>569.276637271031</v>
      </c>
      <c r="V58" s="12">
        <f>' B2级比赛 '!V58*5</f>
        <v>542.168225972411</v>
      </c>
      <c r="W58" s="12">
        <f>' B2级比赛 '!W58*5</f>
        <v>517.524215700937</v>
      </c>
      <c r="X58" s="12">
        <f>' B2级比赛 '!X58*5</f>
        <v>495.023162844375</v>
      </c>
      <c r="Y58" s="12">
        <f>' B2级比赛 '!Y58*5</f>
        <v>474.397197725859</v>
      </c>
      <c r="Z58" s="12">
        <f>' B2级比赛 '!Z58*5</f>
        <v>442.770717877469</v>
      </c>
      <c r="AA58" s="12">
        <f>' B2级比赛 '!AA58*5</f>
        <v>425.741074882181</v>
      </c>
      <c r="AB58" s="12">
        <f>' B2级比赛 '!AB58*5</f>
        <v>409.972886923582</v>
      </c>
      <c r="AC58" s="12">
        <f>' B2级比赛 '!AC58*5</f>
        <v>395.330998104883</v>
      </c>
      <c r="AD58" s="12">
        <f>' B2级比赛 '!AD58*5</f>
        <v>381.698894721956</v>
      </c>
      <c r="AE58" s="12">
        <f>' B2级比赛 '!AE58*5</f>
        <v>368.975598231224</v>
      </c>
      <c r="AF58" s="12">
        <f>' B2级比赛 '!AF58*5</f>
        <v>357.073159578604</v>
      </c>
      <c r="AG58" s="12">
        <f>' B2级比赛 '!AG58*5</f>
        <v>345.914623341772</v>
      </c>
      <c r="AH58" s="12">
        <f>' B2级比赛 '!AH58*5</f>
        <v>335.432362028385</v>
      </c>
      <c r="AI58" s="12">
        <f>' B2级比赛 '!AI58*5</f>
        <v>325.566704321668</v>
      </c>
      <c r="AJ58" s="12">
        <f>' B2级比赛 '!AJ58*5</f>
        <v>316.264798483906</v>
      </c>
      <c r="AK58" s="12">
        <f>' B2级比赛 '!AK58*5</f>
        <v>307.479665192687</v>
      </c>
      <c r="AL58" s="12">
        <f>' B2级比赛 '!AL58*5</f>
        <v>299.169403971263</v>
      </c>
      <c r="AM58" s="12">
        <f>' B2级比赛 '!AM58*5</f>
        <v>291.296524919387</v>
      </c>
      <c r="AN58" s="12">
        <f>' B2级比赛 '!AN58*5</f>
        <v>283.827383254788</v>
      </c>
      <c r="AO58" s="12">
        <f>' B2级比赛 '!AO58*5</f>
        <v>276.731698673418</v>
      </c>
      <c r="AP58" s="12">
        <f>' B2级比赛 '!AP58*5</f>
        <v>269.982145047237</v>
      </c>
      <c r="AQ58" s="12">
        <f>' B2级比赛 '!AQ58*5</f>
        <v>263.553998736588</v>
      </c>
      <c r="AR58" s="12">
        <f>' B2级比赛 '!AR58*5</f>
        <v>257.424835975272</v>
      </c>
      <c r="AS58" s="12">
        <f>' B2级比赛 '!AS58*5</f>
        <v>251.574271521289</v>
      </c>
      <c r="AT58" s="12">
        <f>' B2级比赛 '!AT58*5</f>
        <v>245.983732154149</v>
      </c>
      <c r="AU58" s="12">
        <f>' B2级比赛 '!AU58*5</f>
        <v>240.636259716016</v>
      </c>
      <c r="AV58" s="12">
        <f>' B2级比赛 '!AV58*5</f>
        <v>235.516339296526</v>
      </c>
      <c r="AW58" s="12">
        <f>' B2级比赛 '!AW58*5</f>
        <v>230.609748894515</v>
      </c>
      <c r="AX58" s="12">
        <f>' B2级比赛 '!AX58*5</f>
        <v>225.903427488504</v>
      </c>
      <c r="AY58" s="12">
        <f>' B2级比赛 '!AY58*5</f>
        <v>221.385358938734</v>
      </c>
      <c r="AZ58" s="18">
        <f>' B2级比赛 '!AZ58*5</f>
        <v>217.044469547779</v>
      </c>
      <c r="BA58" s="18">
        <f>' B2级比赛 '!BA58*5</f>
        <v>145.648262459694</v>
      </c>
      <c r="BB58" s="18">
        <f>' B2级比赛 '!BB58*5</f>
        <v>109.596712345908</v>
      </c>
      <c r="BC58" s="18">
        <f>' B2级比赛 '!BC58*5</f>
        <v>73.306410244614</v>
      </c>
      <c r="BD58" s="18">
        <f>' B2级比赛 '!BD58*5</f>
        <v>55.0709848106304</v>
      </c>
      <c r="BE58" s="18">
        <f>' B2级比赛 '!BE58*5</f>
        <v>36.7749765678961</v>
      </c>
      <c r="BF58" s="18">
        <f>' B2级比赛 '!BF58*5</f>
        <v>27.6041594686701</v>
      </c>
      <c r="BG58" s="18">
        <f>' B2级比赛 '!BG58*5</f>
        <v>22.0943471994745</v>
      </c>
      <c r="BH58" s="18">
        <f>' B2级比赛 '!BH58*5</f>
        <v>14.7393714340036</v>
      </c>
      <c r="BI58" s="18">
        <f>' B2级比赛 '!BI58*5</f>
        <v>11.0582097371995</v>
      </c>
      <c r="BJ58" s="18">
        <f>' B2级比赛 '!BJ58*5</f>
        <v>7.37459556757942</v>
      </c>
      <c r="BK58" s="18">
        <f>' B2级比赛 '!BK58*5</f>
        <v>5.53186803944863</v>
      </c>
      <c r="BL58" s="18">
        <f>' B2级比赛 '!BL58*5</f>
        <v>3.58314000281666</v>
      </c>
      <c r="BM58" s="18" t="e">
        <f>' B2级比赛 '!#REF!*5</f>
        <v>#REF!</v>
      </c>
      <c r="BN58" s="23"/>
      <c r="BO58" s="23"/>
      <c r="BP58" s="23"/>
      <c r="BQ58" s="23"/>
      <c r="BR58" s="23"/>
      <c r="BS58" s="23"/>
      <c r="BT58" s="23"/>
      <c r="BU58" s="23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</row>
    <row r="59" s="4" customFormat="1" spans="1:110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23"/>
      <c r="BO59" s="23"/>
      <c r="BP59" s="23"/>
      <c r="BQ59" s="23"/>
      <c r="BR59" s="23"/>
      <c r="BS59" s="23"/>
      <c r="BT59" s="23"/>
      <c r="BU59" s="23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</row>
    <row r="60" s="4" customFormat="1" spans="1:7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</row>
    <row r="61" s="4" customFormat="1" spans="1:7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</row>
    <row r="62" s="4" customFormat="1" spans="1:7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</row>
    <row r="63" s="4" customFormat="1" spans="1:7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</row>
    <row r="64" s="4" customFormat="1" spans="1:7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</row>
    <row r="65" s="4" customFormat="1" spans="1:7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</row>
    <row r="66" s="4" customFormat="1" spans="1:7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</row>
    <row r="67" s="4" customFormat="1" spans="1:7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</row>
    <row r="68" s="4" customFormat="1" spans="1:7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</row>
    <row r="69" s="4" customFormat="1" spans="1:7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</row>
    <row r="70" s="4" customFormat="1" spans="1:7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</row>
    <row r="71" s="4" customFormat="1" spans="1:7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</row>
    <row r="72" s="4" customFormat="1" spans="1:7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</row>
    <row r="73" s="4" customFormat="1" spans="1:7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</row>
    <row r="74" s="4" customFormat="1" spans="1:7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</row>
    <row r="75" s="4" customFormat="1" spans="1:7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</row>
    <row r="76" s="4" customFormat="1" spans="1:7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</row>
    <row r="77" s="4" customFormat="1" spans="1:7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</row>
  </sheetData>
  <mergeCells count="1">
    <mergeCell ref="A1:H1"/>
  </mergeCells>
  <conditionalFormatting sqref="1:1048576">
    <cfRule type="cellIs" dxfId="2" priority="1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E77"/>
  <sheetViews>
    <sheetView topLeftCell="A31" workbookViewId="0">
      <selection activeCell="I65" sqref="I65"/>
    </sheetView>
  </sheetViews>
  <sheetFormatPr defaultColWidth="9" defaultRowHeight="10.8"/>
  <cols>
    <col min="1" max="7" width="9" style="5"/>
    <col min="8" max="8" width="9.75" style="5" customWidth="1"/>
    <col min="9" max="37" width="9" style="5"/>
    <col min="38" max="58" width="9" style="6"/>
    <col min="59" max="59" width="9" style="5"/>
    <col min="60" max="60" width="11.3796296296296" style="5" customWidth="1"/>
    <col min="61" max="61" width="12.1296296296296" style="5" customWidth="1"/>
    <col min="62" max="62" width="12.75" style="5" customWidth="1"/>
    <col min="63" max="63" width="11.8796296296296" style="5" customWidth="1"/>
    <col min="64" max="64" width="12" style="5" customWidth="1"/>
    <col min="65" max="65" width="13" style="5" customWidth="1"/>
    <col min="66" max="16384" width="9" style="5"/>
  </cols>
  <sheetData>
    <row r="1" spans="1:8">
      <c r="A1" s="7" t="s">
        <v>123</v>
      </c>
      <c r="B1" s="7"/>
      <c r="C1" s="7"/>
      <c r="D1" s="7"/>
      <c r="E1" s="7"/>
      <c r="F1" s="7"/>
      <c r="G1" s="7"/>
      <c r="H1" s="7"/>
    </row>
    <row r="2" spans="1:1">
      <c r="A2" s="8"/>
    </row>
    <row r="3" s="1" customFormat="1" ht="21.6" spans="1:73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  <c r="AF3" s="9" t="s">
        <v>32</v>
      </c>
      <c r="AG3" s="9" t="s">
        <v>33</v>
      </c>
      <c r="AH3" s="9" t="s">
        <v>34</v>
      </c>
      <c r="AI3" s="9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9" t="s">
        <v>53</v>
      </c>
      <c r="BB3" s="9" t="s">
        <v>54</v>
      </c>
      <c r="BC3" s="9" t="s">
        <v>55</v>
      </c>
      <c r="BD3" s="9" t="s">
        <v>56</v>
      </c>
      <c r="BE3" s="9" t="s">
        <v>57</v>
      </c>
      <c r="BF3" s="9" t="s">
        <v>58</v>
      </c>
      <c r="BG3" s="9" t="s">
        <v>59</v>
      </c>
      <c r="BH3" s="9" t="s">
        <v>60</v>
      </c>
      <c r="BI3" s="9" t="s">
        <v>61</v>
      </c>
      <c r="BJ3" s="9" t="s">
        <v>62</v>
      </c>
      <c r="BK3" s="9" t="s">
        <v>63</v>
      </c>
      <c r="BL3" s="9" t="s">
        <v>64</v>
      </c>
      <c r="BM3" s="9" t="s">
        <v>65</v>
      </c>
      <c r="BN3" s="22"/>
      <c r="BO3" s="22"/>
      <c r="BP3" s="22"/>
      <c r="BQ3" s="22"/>
      <c r="BR3" s="22"/>
      <c r="BS3" s="22"/>
      <c r="BT3" s="22"/>
      <c r="BU3" s="22"/>
    </row>
    <row r="4" spans="1:73">
      <c r="A4" s="11" t="s">
        <v>66</v>
      </c>
      <c r="B4" s="12">
        <f>' B2级比赛 '!B4*2.5</f>
        <v>5</v>
      </c>
      <c r="C4" s="13">
        <v>5</v>
      </c>
      <c r="D4" s="14">
        <v>1.3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9"/>
      <c r="BO4" s="19"/>
      <c r="BP4" s="19"/>
      <c r="BQ4" s="19"/>
      <c r="BR4" s="19"/>
      <c r="BS4" s="19"/>
      <c r="BT4" s="19"/>
      <c r="BU4" s="19"/>
    </row>
    <row r="5" spans="1:73">
      <c r="A5" s="11" t="s">
        <v>67</v>
      </c>
      <c r="B5" s="12">
        <f>' B2级比赛 '!B5*2.5</f>
        <v>10</v>
      </c>
      <c r="C5" s="12">
        <f>' B2级比赛 '!C5*2.5</f>
        <v>7</v>
      </c>
      <c r="D5" s="13">
        <f>' B2级比赛 '!D5*2.5</f>
        <v>17</v>
      </c>
      <c r="E5" s="14">
        <f>' B2级比赛 '!E5*2.5</f>
        <v>2.125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>
        <f>' B2级比赛 '!Z5*2.5</f>
        <v>0</v>
      </c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9"/>
      <c r="BO5" s="19"/>
      <c r="BP5" s="19"/>
      <c r="BQ5" s="19"/>
      <c r="BR5" s="19"/>
      <c r="BS5" s="19"/>
      <c r="BT5" s="19"/>
      <c r="BU5" s="19"/>
    </row>
    <row r="6" spans="1:73">
      <c r="A6" s="11" t="s">
        <v>68</v>
      </c>
      <c r="B6" s="12">
        <f>' B2级比赛 '!B6*2.5</f>
        <v>15</v>
      </c>
      <c r="C6" s="12">
        <f>' B2级比赛 '!C6*2.5</f>
        <v>10.5</v>
      </c>
      <c r="D6" s="15">
        <f>' B2级比赛 '!D6*2.5</f>
        <v>7.5</v>
      </c>
      <c r="E6" s="13">
        <f>' B2级比赛 '!E6*2.5</f>
        <v>33</v>
      </c>
      <c r="F6" s="14">
        <f>' B2级比赛 '!F6*2.5</f>
        <v>3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>
        <f>' B2级比赛 '!Z6*2.5</f>
        <v>0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9"/>
      <c r="BO6" s="19"/>
      <c r="BP6" s="19"/>
      <c r="BQ6" s="19"/>
      <c r="BR6" s="19"/>
      <c r="BS6" s="19"/>
      <c r="BT6" s="19"/>
      <c r="BU6" s="19"/>
    </row>
    <row r="7" spans="1:73">
      <c r="A7" s="11" t="s">
        <v>69</v>
      </c>
      <c r="B7" s="12">
        <f>' B2级比赛 '!B7*2.5</f>
        <v>17</v>
      </c>
      <c r="C7" s="12">
        <f>' B2级比赛 '!C7*2.5</f>
        <v>11.9</v>
      </c>
      <c r="D7" s="15">
        <f>' B2级比赛 '!D7*2.5</f>
        <v>8.5</v>
      </c>
      <c r="E7" s="15">
        <f>' B2级比赛 '!E7*2.5</f>
        <v>5.95</v>
      </c>
      <c r="F7" s="13">
        <f>' B2级比赛 '!F7*2.5</f>
        <v>43.35</v>
      </c>
      <c r="G7" s="14">
        <f>' B2级比赛 '!G7*2.5</f>
        <v>3.09642857142857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>
        <f>' B2级比赛 '!Z7*2.5</f>
        <v>0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9"/>
      <c r="BO7" s="19"/>
      <c r="BP7" s="19"/>
      <c r="BQ7" s="19"/>
      <c r="BR7" s="19"/>
      <c r="BS7" s="19"/>
      <c r="BT7" s="19"/>
      <c r="BU7" s="19"/>
    </row>
    <row r="8" spans="1:73">
      <c r="A8" s="11" t="s">
        <v>70</v>
      </c>
      <c r="B8" s="12">
        <f>' B2级比赛 '!B8*2.5</f>
        <v>20.5</v>
      </c>
      <c r="C8" s="12">
        <f>' B2级比赛 '!C8*2.5</f>
        <v>14.35</v>
      </c>
      <c r="D8" s="15">
        <f>' B2级比赛 '!D8*2.5</f>
        <v>10.25</v>
      </c>
      <c r="E8" s="15">
        <f>' B2级比赛 '!E8*2.5</f>
        <v>7.175</v>
      </c>
      <c r="F8" s="15">
        <f>' B2级比赛 '!F8*2.5</f>
        <v>4.1</v>
      </c>
      <c r="G8" s="13">
        <f>' B2级比赛 '!G8*2.5</f>
        <v>56.375</v>
      </c>
      <c r="H8" s="14">
        <f>' B2级比赛 '!H8*2.5</f>
        <v>3.13194444444444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>
        <f>' B2级比赛 '!Z8*2.5</f>
        <v>0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9"/>
      <c r="BO8" s="19"/>
      <c r="BP8" s="19"/>
      <c r="BQ8" s="19"/>
      <c r="BR8" s="19"/>
      <c r="BS8" s="19"/>
      <c r="BT8" s="19"/>
      <c r="BU8" s="19"/>
    </row>
    <row r="9" spans="1:73">
      <c r="A9" s="11" t="s">
        <v>71</v>
      </c>
      <c r="B9" s="12">
        <f>' B2级比赛 '!B9*2.5</f>
        <v>23</v>
      </c>
      <c r="C9" s="12">
        <f>' B2级比赛 '!C9*2.5</f>
        <v>16.1</v>
      </c>
      <c r="D9" s="15">
        <f>' B2级比赛 '!D9*2.5</f>
        <v>11.5</v>
      </c>
      <c r="E9" s="15">
        <f>' B2级比赛 '!E9*2.5</f>
        <v>8.05</v>
      </c>
      <c r="F9" s="15">
        <f>' B2级比赛 '!F9*2.5</f>
        <v>4.6</v>
      </c>
      <c r="G9" s="15">
        <f>' B2级比赛 '!G9*2.5</f>
        <v>3.83333333333333</v>
      </c>
      <c r="H9" s="13">
        <f>' B2级比赛 '!H9*2.5</f>
        <v>67.0833333333333</v>
      </c>
      <c r="I9" s="14">
        <f>' B2级比赛 '!I9*2.5</f>
        <v>3.19444444444444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>
        <f>' B2级比赛 '!Z9*2.5</f>
        <v>0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9"/>
      <c r="BO9" s="19"/>
      <c r="BP9" s="19"/>
      <c r="BQ9" s="19"/>
      <c r="BR9" s="19"/>
      <c r="BS9" s="19"/>
      <c r="BT9" s="19"/>
      <c r="BU9" s="19"/>
    </row>
    <row r="10" spans="1:73">
      <c r="A10" s="11" t="s">
        <v>72</v>
      </c>
      <c r="B10" s="12">
        <f>' B2级比赛 '!B10*2.5</f>
        <v>25</v>
      </c>
      <c r="C10" s="12">
        <f>' B2级比赛 '!C10*2.5</f>
        <v>17.5</v>
      </c>
      <c r="D10" s="15">
        <f>' B2级比赛 '!D10*2.5</f>
        <v>12.5</v>
      </c>
      <c r="E10" s="15">
        <f>' B2级比赛 '!E10*2.5</f>
        <v>8.75</v>
      </c>
      <c r="F10" s="15">
        <f>' B2级比赛 '!F10*2.5</f>
        <v>5</v>
      </c>
      <c r="G10" s="15">
        <f>' B2级比赛 '!G10*2.5</f>
        <v>4.16666666666667</v>
      </c>
      <c r="H10" s="15">
        <f>' B2级比赛 '!H10*2.5</f>
        <v>3.57142857142857</v>
      </c>
      <c r="I10" s="13">
        <f>' B2级比赛 '!I10*2.5</f>
        <v>76.4880952380952</v>
      </c>
      <c r="J10" s="14">
        <f>' B2级比赛 '!J10*2.5</f>
        <v>3.18700396825397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>
        <f>' B2级比赛 '!Z10*2.5</f>
        <v>0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9"/>
      <c r="BO10" s="19"/>
      <c r="BP10" s="19"/>
      <c r="BQ10" s="19"/>
      <c r="BR10" s="19"/>
      <c r="BS10" s="19"/>
      <c r="BT10" s="19"/>
      <c r="BU10" s="19"/>
    </row>
    <row r="11" spans="1:73">
      <c r="A11" s="11" t="s">
        <v>73</v>
      </c>
      <c r="B11" s="12">
        <f>' B2级比赛 '!B11*2.5</f>
        <v>28</v>
      </c>
      <c r="C11" s="12">
        <f>' B2级比赛 '!C11*2.5</f>
        <v>19.6</v>
      </c>
      <c r="D11" s="15">
        <f>' B2级比赛 '!D11*2.5</f>
        <v>14</v>
      </c>
      <c r="E11" s="15">
        <f>' B2级比赛 '!E11*2.5</f>
        <v>9.8</v>
      </c>
      <c r="F11" s="15">
        <f>' B2级比赛 '!F11*2.5</f>
        <v>5.6</v>
      </c>
      <c r="G11" s="15">
        <f>' B2级比赛 '!G11*2.5</f>
        <v>4.66666666666667</v>
      </c>
      <c r="H11" s="15">
        <f>' B2级比赛 '!H11*2.5</f>
        <v>4</v>
      </c>
      <c r="I11" s="15">
        <f>' B2级比赛 '!I11*2.5</f>
        <v>3.5</v>
      </c>
      <c r="J11" s="13">
        <f>' B2级比赛 '!J11*2.5</f>
        <v>89.1666666666667</v>
      </c>
      <c r="K11" s="14">
        <f>' B2级比赛 '!K11*2.5</f>
        <v>3.18452380952381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>
        <f>' B2级比赛 '!Z11*2.5</f>
        <v>0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9"/>
      <c r="BO11" s="19"/>
      <c r="BP11" s="19"/>
      <c r="BQ11" s="19"/>
      <c r="BR11" s="19"/>
      <c r="BS11" s="19"/>
      <c r="BT11" s="19"/>
      <c r="BU11" s="19"/>
    </row>
    <row r="12" spans="1:73">
      <c r="A12" s="11" t="s">
        <v>74</v>
      </c>
      <c r="B12" s="12">
        <f>' B2级比赛 '!B12*2.5</f>
        <v>30</v>
      </c>
      <c r="C12" s="12">
        <f>' B2级比赛 '!C12*2.5</f>
        <v>21</v>
      </c>
      <c r="D12" s="15">
        <f>' B2级比赛 '!D12*2.5</f>
        <v>15</v>
      </c>
      <c r="E12" s="15">
        <f>' B2级比赛 '!E12*2.5</f>
        <v>10.5</v>
      </c>
      <c r="F12" s="15">
        <f>' B2级比赛 '!F12*2.5</f>
        <v>6</v>
      </c>
      <c r="G12" s="15">
        <f>' B2级比赛 '!G12*2.5</f>
        <v>5</v>
      </c>
      <c r="H12" s="15">
        <f>' B2级比赛 '!H12*2.5</f>
        <v>4.28571428571429</v>
      </c>
      <c r="I12" s="15">
        <f>' B2级比赛 '!I12*2.5</f>
        <v>3.75</v>
      </c>
      <c r="J12" s="15">
        <f>' B2级比赛 '!J12*2.5</f>
        <v>3.33333333333333</v>
      </c>
      <c r="K12" s="13">
        <f>' B2级比赛 '!K12*2.5</f>
        <v>98.8690476190476</v>
      </c>
      <c r="L12" s="14">
        <f>' B2级比赛 '!L12*2.5</f>
        <v>3.18932411674347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>
        <f>' B2级比赛 '!Z12*2.5</f>
        <v>0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9"/>
      <c r="BO12" s="19"/>
      <c r="BP12" s="19"/>
      <c r="BQ12" s="19"/>
      <c r="BR12" s="19"/>
      <c r="BS12" s="19"/>
      <c r="BT12" s="19"/>
      <c r="BU12" s="19"/>
    </row>
    <row r="13" spans="1:109">
      <c r="A13" s="11" t="s">
        <v>75</v>
      </c>
      <c r="B13" s="12">
        <f>' B2级比赛 '!B13*2.5</f>
        <v>32</v>
      </c>
      <c r="C13" s="12">
        <f>' B2级比赛 '!C13*2.5</f>
        <v>22.4</v>
      </c>
      <c r="D13" s="15">
        <f>' B2级比赛 '!D13*2.5</f>
        <v>16</v>
      </c>
      <c r="E13" s="15">
        <f>' B2级比赛 '!E13*2.5</f>
        <v>11.2</v>
      </c>
      <c r="F13" s="15">
        <f>' B2级比赛 '!F13*2.5</f>
        <v>6.4</v>
      </c>
      <c r="G13" s="15">
        <f>' B2级比赛 '!G13*2.5</f>
        <v>5.33333333333333</v>
      </c>
      <c r="H13" s="15">
        <f>' B2级比赛 '!H13*2.5</f>
        <v>4.57142857142857</v>
      </c>
      <c r="I13" s="15">
        <f>' B2级比赛 '!I13*2.5</f>
        <v>4</v>
      </c>
      <c r="J13" s="15">
        <f>' B2级比赛 '!J13*2.5</f>
        <v>3.55555555555556</v>
      </c>
      <c r="K13" s="15">
        <f>' B2级比赛 '!K13*2.5</f>
        <v>3.2</v>
      </c>
      <c r="L13" s="13">
        <f>' B2级比赛 '!L13*2.5</f>
        <v>108.660317460317</v>
      </c>
      <c r="M13" s="14">
        <f>' B2级比赛 '!M13*2.5</f>
        <v>3.19589169000934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>
        <f>' B2级比赛 '!Z13*2.5</f>
        <v>0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23"/>
      <c r="BO13" s="23"/>
      <c r="BP13" s="23"/>
      <c r="BQ13" s="23"/>
      <c r="BR13" s="23"/>
      <c r="BS13" s="23"/>
      <c r="BT13" s="23"/>
      <c r="BU13" s="2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</row>
    <row r="14" spans="1:109">
      <c r="A14" s="11" t="s">
        <v>76</v>
      </c>
      <c r="B14" s="12">
        <f>' B2级比赛 '!B14*2.5</f>
        <v>35</v>
      </c>
      <c r="C14" s="12">
        <f>' B2级比赛 '!C14*2.5</f>
        <v>24.5</v>
      </c>
      <c r="D14" s="15">
        <f>' B2级比赛 '!D14*2.5</f>
        <v>17.5</v>
      </c>
      <c r="E14" s="15">
        <f>' B2级比赛 '!E14*2.5</f>
        <v>12.25</v>
      </c>
      <c r="F14" s="15">
        <f>' B2级比赛 '!F14*2.5</f>
        <v>7</v>
      </c>
      <c r="G14" s="15">
        <f>' B2级比赛 '!G14*2.5</f>
        <v>5.83333333333333</v>
      </c>
      <c r="H14" s="15">
        <f>' B2级比赛 '!H14*2.5</f>
        <v>5</v>
      </c>
      <c r="I14" s="15">
        <f>' B2级比赛 '!I14*2.5</f>
        <v>4.375</v>
      </c>
      <c r="J14" s="15">
        <f>' B2级比赛 '!J14*2.5</f>
        <v>3.88888888888889</v>
      </c>
      <c r="K14" s="15">
        <f>' B2级比赛 '!K14*2.5</f>
        <v>3.5</v>
      </c>
      <c r="L14" s="15">
        <f>' B2级比赛 '!L14*2.5</f>
        <v>3.18181818181818</v>
      </c>
      <c r="M14" s="13">
        <f>' B2级比赛 '!M14*2.5</f>
        <v>122.02904040404</v>
      </c>
      <c r="N14" s="14">
        <f>' B2级比赛 '!N14*2.5</f>
        <v>3.21129053694843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>
        <f>' B2级比赛 '!Z14*2.5</f>
        <v>0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23"/>
      <c r="BO14" s="23"/>
      <c r="BP14" s="23"/>
      <c r="BQ14" s="23"/>
      <c r="BR14" s="23"/>
      <c r="BS14" s="23"/>
      <c r="BT14" s="23"/>
      <c r="BU14" s="2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</row>
    <row r="15" spans="1:109">
      <c r="A15" s="11" t="s">
        <v>77</v>
      </c>
      <c r="B15" s="12">
        <f>' B2级比赛 '!B15*2.5</f>
        <v>37.5</v>
      </c>
      <c r="C15" s="12">
        <f>' B2级比赛 '!C15*2.5</f>
        <v>26.25</v>
      </c>
      <c r="D15" s="15">
        <f>' B2级比赛 '!D15*2.5</f>
        <v>18.75</v>
      </c>
      <c r="E15" s="15">
        <f>' B2级比赛 '!E15*2.5</f>
        <v>13.125</v>
      </c>
      <c r="F15" s="15">
        <f>' B2级比赛 '!F15*2.5</f>
        <v>7.5</v>
      </c>
      <c r="G15" s="15">
        <f>' B2级比赛 '!G15*2.5</f>
        <v>6.25</v>
      </c>
      <c r="H15" s="15">
        <f>' B2级比赛 '!H15*2.5</f>
        <v>5.35714285714286</v>
      </c>
      <c r="I15" s="15">
        <f>' B2级比赛 '!I15*2.5</f>
        <v>4.6875</v>
      </c>
      <c r="J15" s="15">
        <f>' B2级比赛 '!J15*2.5</f>
        <v>4.16666666666667</v>
      </c>
      <c r="K15" s="15">
        <f>' B2级比赛 '!K15*2.5</f>
        <v>3.75</v>
      </c>
      <c r="L15" s="15">
        <f>' B2级比赛 '!L15*2.5</f>
        <v>3.40909090909091</v>
      </c>
      <c r="M15" s="15">
        <f>' B2级比赛 '!M15*2.5</f>
        <v>3.125</v>
      </c>
      <c r="N15" s="13">
        <f>' B2级比赛 '!N15*2.5</f>
        <v>133.8704004329</v>
      </c>
      <c r="O15" s="14">
        <f>' B2级比赛 '!O15*2.5</f>
        <v>3.26513171787562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>
        <f>' B2级比赛 '!Z15*2.5</f>
        <v>0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23"/>
      <c r="BO15" s="23"/>
      <c r="BP15" s="23"/>
      <c r="BQ15" s="23"/>
      <c r="BR15" s="23"/>
      <c r="BS15" s="23"/>
      <c r="BT15" s="23"/>
      <c r="BU15" s="23"/>
      <c r="BV15" s="26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</row>
    <row r="16" spans="1:109">
      <c r="A16" s="11" t="s">
        <v>78</v>
      </c>
      <c r="B16" s="12">
        <f>' B2级比赛 '!B16*2.5</f>
        <v>40</v>
      </c>
      <c r="C16" s="12">
        <f>' B2级比赛 '!C16*2.5</f>
        <v>28</v>
      </c>
      <c r="D16" s="15">
        <f>' B2级比赛 '!D16*2.5</f>
        <v>20</v>
      </c>
      <c r="E16" s="15">
        <f>' B2级比赛 '!E16*2.5</f>
        <v>14</v>
      </c>
      <c r="F16" s="15">
        <f>' B2级比赛 '!F16*2.5</f>
        <v>8</v>
      </c>
      <c r="G16" s="15">
        <f>' B2级比赛 '!G16*2.5</f>
        <v>6.66666666666667</v>
      </c>
      <c r="H16" s="15">
        <f>' B2级比赛 '!H16*2.5</f>
        <v>5.71428571428571</v>
      </c>
      <c r="I16" s="15">
        <f>' B2级比赛 '!I16*2.5</f>
        <v>5</v>
      </c>
      <c r="J16" s="15">
        <f>' B2级比赛 '!J16*2.5</f>
        <v>4.44444444444444</v>
      </c>
      <c r="K16" s="15">
        <f>' B2级比赛 '!K16*2.5</f>
        <v>4</v>
      </c>
      <c r="L16" s="15">
        <f>' B2级比赛 '!L16*2.5</f>
        <v>3.63636363636364</v>
      </c>
      <c r="M16" s="15">
        <f>' B2级比赛 '!M16*2.5</f>
        <v>3.33333333333333</v>
      </c>
      <c r="N16" s="15">
        <f>' B2级比赛 '!N16*2.5</f>
        <v>3.07692307692308</v>
      </c>
      <c r="O16" s="13">
        <f>' B2级比赛 '!O16*2.5</f>
        <v>145.872016872017</v>
      </c>
      <c r="P16" s="14">
        <f>' B2级比赛 '!P16*2.5</f>
        <v>3.31527311072766</v>
      </c>
      <c r="Q16" s="15"/>
      <c r="R16" s="15"/>
      <c r="S16" s="15"/>
      <c r="T16" s="15"/>
      <c r="U16" s="15"/>
      <c r="V16" s="15"/>
      <c r="W16" s="15"/>
      <c r="X16" s="15"/>
      <c r="Y16" s="15"/>
      <c r="Z16" s="15">
        <f>' B2级比赛 '!Z16*2.5</f>
        <v>0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23"/>
      <c r="BO16" s="23"/>
      <c r="BP16" s="23"/>
      <c r="BQ16" s="23"/>
      <c r="BR16" s="23"/>
      <c r="BS16" s="23"/>
      <c r="BT16" s="23"/>
      <c r="BU16" s="2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</row>
    <row r="17" spans="1:109">
      <c r="A17" s="11" t="s">
        <v>79</v>
      </c>
      <c r="B17" s="12">
        <f>' B2级比赛 '!B17*2.5</f>
        <v>42.5</v>
      </c>
      <c r="C17" s="12">
        <f>' B2级比赛 '!C17*2.5</f>
        <v>29.75</v>
      </c>
      <c r="D17" s="15">
        <f>' B2级比赛 '!D17*2.5</f>
        <v>21.25</v>
      </c>
      <c r="E17" s="15">
        <f>' B2级比赛 '!E17*2.5</f>
        <v>14.875</v>
      </c>
      <c r="F17" s="15">
        <f>' B2级比赛 '!F17*2.5</f>
        <v>8.5</v>
      </c>
      <c r="G17" s="15">
        <f>' B2级比赛 '!G17*2.5</f>
        <v>7.08333333333333</v>
      </c>
      <c r="H17" s="15">
        <f>' B2级比赛 '!H17*2.5</f>
        <v>6.07142857142857</v>
      </c>
      <c r="I17" s="15">
        <f>' B2级比赛 '!I17*2.5</f>
        <v>5.3125</v>
      </c>
      <c r="J17" s="15">
        <f>' B2级比赛 '!J17*2.5</f>
        <v>4.72222222222222</v>
      </c>
      <c r="K17" s="15">
        <f>' B2级比赛 '!K17*2.5</f>
        <v>4.25</v>
      </c>
      <c r="L17" s="15">
        <f>' B2级比赛 '!L17*2.5</f>
        <v>3.86363636363636</v>
      </c>
      <c r="M17" s="15">
        <f>' B2级比赛 '!M17*2.5</f>
        <v>3.54166666666667</v>
      </c>
      <c r="N17" s="15">
        <f>' B2级比赛 '!N17*2.5</f>
        <v>3.26923076923077</v>
      </c>
      <c r="O17" s="15">
        <f>' B2级比赛 '!O17*2.5</f>
        <v>3.03571428571429</v>
      </c>
      <c r="P17" s="13">
        <f>' B2级比赛 '!P17*2.5</f>
        <v>158.024732212232</v>
      </c>
      <c r="Q17" s="14">
        <f>' B2级比赛 '!Q17*2.5</f>
        <v>3.29218192108817</v>
      </c>
      <c r="R17" s="15"/>
      <c r="S17" s="15"/>
      <c r="T17" s="15"/>
      <c r="U17" s="15"/>
      <c r="V17" s="15"/>
      <c r="W17" s="15"/>
      <c r="X17" s="15"/>
      <c r="Y17" s="15"/>
      <c r="Z17" s="15">
        <f>' B2级比赛 '!Z17*2.5</f>
        <v>0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23"/>
      <c r="BO17" s="23"/>
      <c r="BP17" s="23"/>
      <c r="BQ17" s="23"/>
      <c r="BR17" s="23"/>
      <c r="BS17" s="23"/>
      <c r="BT17" s="23"/>
      <c r="BU17" s="2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</row>
    <row r="18" spans="1:109">
      <c r="A18" s="11" t="s">
        <v>80</v>
      </c>
      <c r="B18" s="12">
        <f>' B2级比赛 '!B18*2.5</f>
        <v>44.5</v>
      </c>
      <c r="C18" s="12">
        <f>' B2级比赛 '!C18*2.5</f>
        <v>31.15</v>
      </c>
      <c r="D18" s="15">
        <f>' B2级比赛 '!D18*2.5</f>
        <v>22.25</v>
      </c>
      <c r="E18" s="15">
        <f>' B2级比赛 '!E18*2.5</f>
        <v>15.575</v>
      </c>
      <c r="F18" s="15">
        <f>' B2级比赛 '!F18*2.5</f>
        <v>8.9</v>
      </c>
      <c r="G18" s="15">
        <f>' B2级比赛 '!G18*2.5</f>
        <v>7.41666666666667</v>
      </c>
      <c r="H18" s="15">
        <f>' B2级比赛 '!H18*2.5</f>
        <v>6.35714285714286</v>
      </c>
      <c r="I18" s="15">
        <f>' B2级比赛 '!I18*2.5</f>
        <v>5.5625</v>
      </c>
      <c r="J18" s="15">
        <f>' B2级比赛 '!J18*2.5</f>
        <v>4.94444444444444</v>
      </c>
      <c r="K18" s="15">
        <f>' B2级比赛 '!K18*2.5</f>
        <v>4.45</v>
      </c>
      <c r="L18" s="15">
        <f>' B2级比赛 '!L18*2.5</f>
        <v>4.04545454545454</v>
      </c>
      <c r="M18" s="15">
        <f>' B2级比赛 '!M18*2.5</f>
        <v>3.70833333333333</v>
      </c>
      <c r="N18" s="15">
        <f>' B2级比赛 '!N18*2.5</f>
        <v>3.42307692307692</v>
      </c>
      <c r="O18" s="15">
        <f>' B2级比赛 '!O18*2.5</f>
        <v>3.17857142857143</v>
      </c>
      <c r="P18" s="12">
        <f>' B2级比赛 '!P18*2.5</f>
        <v>2.96666666666667</v>
      </c>
      <c r="Q18" s="13">
        <f>' B2级比赛 '!Q18*2.5</f>
        <v>168.427856865357</v>
      </c>
      <c r="R18" s="14">
        <f>' B2级比赛 '!R18*2.5</f>
        <v>3.30250699735994</v>
      </c>
      <c r="S18" s="12"/>
      <c r="T18" s="12"/>
      <c r="U18" s="12"/>
      <c r="V18" s="12"/>
      <c r="W18" s="12"/>
      <c r="X18" s="12"/>
      <c r="Y18" s="12"/>
      <c r="Z18" s="12">
        <f>' B2级比赛 '!Z18*2.5</f>
        <v>0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23"/>
      <c r="BO18" s="23"/>
      <c r="BP18" s="23"/>
      <c r="BQ18" s="23"/>
      <c r="BR18" s="23"/>
      <c r="BS18" s="23"/>
      <c r="BT18" s="23"/>
      <c r="BU18" s="2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</row>
    <row r="19" spans="1:109">
      <c r="A19" s="11" t="s">
        <v>81</v>
      </c>
      <c r="B19" s="12">
        <f>' B2级比赛 '!B19*2.5</f>
        <v>46.25</v>
      </c>
      <c r="C19" s="12">
        <f>' B2级比赛 '!C19*2.5</f>
        <v>32.375</v>
      </c>
      <c r="D19" s="15">
        <f>' B2级比赛 '!D19*2.5</f>
        <v>23.125</v>
      </c>
      <c r="E19" s="15">
        <f>' B2级比赛 '!E19*2.5</f>
        <v>16.1875</v>
      </c>
      <c r="F19" s="15">
        <f>' B2级比赛 '!F19*2.5</f>
        <v>9.25</v>
      </c>
      <c r="G19" s="15">
        <f>' B2级比赛 '!G19*2.5</f>
        <v>7.70833333333333</v>
      </c>
      <c r="H19" s="15">
        <f>' B2级比赛 '!H19*2.5</f>
        <v>6.60714285714286</v>
      </c>
      <c r="I19" s="15">
        <f>' B2级比赛 '!I19*2.5</f>
        <v>5.78125</v>
      </c>
      <c r="J19" s="15">
        <f>' B2级比赛 '!J19*2.5</f>
        <v>5.13888888888889</v>
      </c>
      <c r="K19" s="15">
        <f>' B2级比赛 '!K19*2.5</f>
        <v>4.625</v>
      </c>
      <c r="L19" s="15">
        <f>' B2级比赛 '!L19*2.5</f>
        <v>4.20454545454546</v>
      </c>
      <c r="M19" s="15">
        <f>' B2级比赛 '!M19*2.5</f>
        <v>3.85416666666667</v>
      </c>
      <c r="N19" s="15">
        <f>' B2级比赛 '!N19*2.5</f>
        <v>3.55769230769231</v>
      </c>
      <c r="O19" s="15">
        <f>' B2级比赛 '!O19*2.5</f>
        <v>3.30357142857143</v>
      </c>
      <c r="P19" s="12">
        <f>' B2级比赛 '!P19*2.5</f>
        <v>3.08333333333333</v>
      </c>
      <c r="Q19" s="12">
        <f>' B2级比赛 '!Q19*2.5</f>
        <v>2.890625</v>
      </c>
      <c r="R19" s="13">
        <f>' B2级比赛 '!R19*2.5</f>
        <v>177.942049270174</v>
      </c>
      <c r="S19" s="14">
        <f>' B2级比赛 '!S19*2.5</f>
        <v>3.29522313463286</v>
      </c>
      <c r="T19" s="12"/>
      <c r="U19" s="12"/>
      <c r="V19" s="12"/>
      <c r="W19" s="12"/>
      <c r="X19" s="12"/>
      <c r="Y19" s="12"/>
      <c r="Z19" s="12">
        <f>' B2级比赛 '!Z19*2.5</f>
        <v>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23"/>
      <c r="BO19" s="23"/>
      <c r="BP19" s="23"/>
      <c r="BQ19" s="23"/>
      <c r="BR19" s="23"/>
      <c r="BS19" s="23"/>
      <c r="BT19" s="23"/>
      <c r="BU19" s="2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</row>
    <row r="20" spans="1:109">
      <c r="A20" s="11" t="s">
        <v>82</v>
      </c>
      <c r="B20" s="12">
        <f>' B2级比赛 '!B20*2.5</f>
        <v>50</v>
      </c>
      <c r="C20" s="12">
        <f>' B2级比赛 '!C20*2.5</f>
        <v>35</v>
      </c>
      <c r="D20" s="15">
        <f>' B2级比赛 '!D20*2.5</f>
        <v>25</v>
      </c>
      <c r="E20" s="15">
        <f>' B2级比赛 '!E20*2.5</f>
        <v>17.5</v>
      </c>
      <c r="F20" s="15">
        <f>' B2级比赛 '!F20*2.5</f>
        <v>10</v>
      </c>
      <c r="G20" s="15">
        <f>' B2级比赛 '!G20*2.5</f>
        <v>8.33333333333333</v>
      </c>
      <c r="H20" s="15">
        <f>' B2级比赛 '!H20*2.5</f>
        <v>7.14285714285714</v>
      </c>
      <c r="I20" s="15">
        <f>' B2级比赛 '!I20*2.5</f>
        <v>6.25</v>
      </c>
      <c r="J20" s="15">
        <f>' B2级比赛 '!J20*2.5</f>
        <v>5.55555555555556</v>
      </c>
      <c r="K20" s="15">
        <f>' B2级比赛 '!K20*2.5</f>
        <v>5</v>
      </c>
      <c r="L20" s="15">
        <f>' B2级比赛 '!L20*2.5</f>
        <v>4.54545454545454</v>
      </c>
      <c r="M20" s="15">
        <f>' B2级比赛 '!M20*2.5</f>
        <v>4.16666666666667</v>
      </c>
      <c r="N20" s="15">
        <f>' B2级比赛 '!N20*2.5</f>
        <v>3.84615384615385</v>
      </c>
      <c r="O20" s="15">
        <f>' B2级比赛 '!O20*2.5</f>
        <v>3.57142857142857</v>
      </c>
      <c r="P20" s="12">
        <f>' B2级比赛 '!P20*2.5</f>
        <v>3.33333333333333</v>
      </c>
      <c r="Q20" s="12">
        <f>' B2级比赛 '!Q20*2.5</f>
        <v>3.125</v>
      </c>
      <c r="R20" s="12">
        <f>' B2级比赛 '!R20*2.5</f>
        <v>2.94117647058824</v>
      </c>
      <c r="S20" s="13">
        <f>' B2级比赛 '!S20*2.5</f>
        <v>195.310959465371</v>
      </c>
      <c r="T20" s="14">
        <f>' B2级比赛 '!T20*2.5</f>
        <v>3.36743033560985</v>
      </c>
      <c r="U20" s="12"/>
      <c r="V20" s="12"/>
      <c r="W20" s="12"/>
      <c r="X20" s="12"/>
      <c r="Y20" s="12"/>
      <c r="Z20" s="12">
        <f>' B2级比赛 '!Z20*2.5</f>
        <v>0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23"/>
      <c r="BO20" s="23"/>
      <c r="BP20" s="23"/>
      <c r="BQ20" s="23"/>
      <c r="BR20" s="23"/>
      <c r="BS20" s="23"/>
      <c r="BT20" s="23"/>
      <c r="BU20" s="2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</row>
    <row r="21" spans="1:109">
      <c r="A21" s="11" t="s">
        <v>83</v>
      </c>
      <c r="B21" s="12">
        <f>' B2级比赛 '!B21*2.5</f>
        <v>52.5</v>
      </c>
      <c r="C21" s="12">
        <f>' B2级比赛 '!C21*2.5</f>
        <v>36.75</v>
      </c>
      <c r="D21" s="15">
        <f>' B2级比赛 '!D21*2.5</f>
        <v>26.25</v>
      </c>
      <c r="E21" s="15">
        <f>' B2级比赛 '!E21*2.5</f>
        <v>18.375</v>
      </c>
      <c r="F21" s="15">
        <f>' B2级比赛 '!F21*2.5</f>
        <v>10.5</v>
      </c>
      <c r="G21" s="15">
        <f>' B2级比赛 '!G21*2.5</f>
        <v>8.75</v>
      </c>
      <c r="H21" s="15">
        <f>' B2级比赛 '!H21*2.5</f>
        <v>7.5</v>
      </c>
      <c r="I21" s="15">
        <f>' B2级比赛 '!I21*2.5</f>
        <v>6.5625</v>
      </c>
      <c r="J21" s="15">
        <f>' B2级比赛 '!J21*2.5</f>
        <v>5.83333333333333</v>
      </c>
      <c r="K21" s="15">
        <f>' B2级比赛 '!K21*2.5</f>
        <v>5.25</v>
      </c>
      <c r="L21" s="15">
        <f>' B2级比赛 '!L21*2.5</f>
        <v>4.77272727272727</v>
      </c>
      <c r="M21" s="15">
        <f>' B2级比赛 '!M21*2.5</f>
        <v>4.375</v>
      </c>
      <c r="N21" s="15">
        <f>' B2级比赛 '!N21*2.5</f>
        <v>4.03846153846154</v>
      </c>
      <c r="O21" s="15">
        <f>' B2级比赛 '!O21*2.5</f>
        <v>3.75</v>
      </c>
      <c r="P21" s="12">
        <f>' B2级比赛 '!P21*2.5</f>
        <v>3.5</v>
      </c>
      <c r="Q21" s="12">
        <f>' B2级比赛 '!Q21*2.5</f>
        <v>3.28125</v>
      </c>
      <c r="R21" s="12">
        <f>' B2级比赛 '!R21*2.5</f>
        <v>3.08823529411765</v>
      </c>
      <c r="S21" s="12">
        <f>' B2级比赛 '!S21*2.5</f>
        <v>2.91666666666667</v>
      </c>
      <c r="T21" s="13">
        <f>' B2级比赛 '!T21*2.5</f>
        <v>207.993174105306</v>
      </c>
      <c r="U21" s="14">
        <f>' B2级比赛 '!U21*2.5</f>
        <v>3.40972416566076</v>
      </c>
      <c r="V21" s="12"/>
      <c r="W21" s="12"/>
      <c r="X21" s="12"/>
      <c r="Y21" s="12"/>
      <c r="Z21" s="12">
        <f>' B2级比赛 '!Z21*2.5</f>
        <v>0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23"/>
      <c r="BO21" s="23"/>
      <c r="BP21" s="23"/>
      <c r="BQ21" s="23"/>
      <c r="BR21" s="23"/>
      <c r="BS21" s="23"/>
      <c r="BT21" s="23"/>
      <c r="BU21" s="2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</row>
    <row r="22" spans="1:109">
      <c r="A22" s="11" t="s">
        <v>84</v>
      </c>
      <c r="B22" s="12">
        <f>' B2级比赛 '!B22*2.5</f>
        <v>55</v>
      </c>
      <c r="C22" s="12">
        <f>' B2级比赛 '!C22*2.5</f>
        <v>38.5</v>
      </c>
      <c r="D22" s="15">
        <f>' B2级比赛 '!D22*2.5</f>
        <v>27.5</v>
      </c>
      <c r="E22" s="15">
        <f>' B2级比赛 '!E22*2.5</f>
        <v>19.25</v>
      </c>
      <c r="F22" s="15">
        <f>' B2级比赛 '!F22*2.5</f>
        <v>11</v>
      </c>
      <c r="G22" s="15">
        <f>' B2级比赛 '!G22*2.5</f>
        <v>9.16666666666667</v>
      </c>
      <c r="H22" s="15">
        <f>' B2级比赛 '!H22*2.5</f>
        <v>7.85714285714286</v>
      </c>
      <c r="I22" s="15">
        <f>' B2级比赛 '!I22*2.5</f>
        <v>6.875</v>
      </c>
      <c r="J22" s="15">
        <f>' B2级比赛 '!J22*2.5</f>
        <v>6.11111111111111</v>
      </c>
      <c r="K22" s="15">
        <f>' B2级比赛 '!K22*2.5</f>
        <v>5.5</v>
      </c>
      <c r="L22" s="15">
        <f>' B2级比赛 '!L22*2.5</f>
        <v>5</v>
      </c>
      <c r="M22" s="15">
        <f>' B2级比赛 '!M22*2.5</f>
        <v>4.58333333333333</v>
      </c>
      <c r="N22" s="15">
        <f>' B2级比赛 '!N22*2.5</f>
        <v>4.23076923076923</v>
      </c>
      <c r="O22" s="15">
        <f>' B2级比赛 '!O22*2.5</f>
        <v>3.92857142857143</v>
      </c>
      <c r="P22" s="12">
        <f>' B2级比赛 '!P22*2.5</f>
        <v>3.66666666666667</v>
      </c>
      <c r="Q22" s="12">
        <f>' B2级比赛 '!Q22*2.5</f>
        <v>3.4375</v>
      </c>
      <c r="R22" s="12">
        <f>' B2级比赛 '!R22*2.5</f>
        <v>3.23529411764706</v>
      </c>
      <c r="S22" s="12">
        <f>' B2级比赛 '!S22*2.5</f>
        <v>3.05555555555556</v>
      </c>
      <c r="T22" s="12">
        <f>' B2级比赛 '!T22*2.5</f>
        <v>2.89473684210526</v>
      </c>
      <c r="U22" s="13">
        <f>' B2级比赛 '!U22*2.5</f>
        <v>220.792347809569</v>
      </c>
      <c r="V22" s="14">
        <f>' B2级比赛 '!V22*2.5</f>
        <v>3.44988043452452</v>
      </c>
      <c r="W22" s="12"/>
      <c r="X22" s="12"/>
      <c r="Y22" s="12"/>
      <c r="Z22" s="12">
        <f>' B2级比赛 '!Z22*2.5</f>
        <v>0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23"/>
      <c r="BO22" s="23"/>
      <c r="BP22" s="23"/>
      <c r="BQ22" s="23"/>
      <c r="BR22" s="23"/>
      <c r="BS22" s="23"/>
      <c r="BT22" s="23"/>
      <c r="BU22" s="2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</row>
    <row r="23" spans="1:109">
      <c r="A23" s="11" t="s">
        <v>85</v>
      </c>
      <c r="B23" s="12">
        <f>' B2级比赛 '!B23*2.5</f>
        <v>57.5</v>
      </c>
      <c r="C23" s="12">
        <f>' B2级比赛 '!C23*2.5</f>
        <v>40.25</v>
      </c>
      <c r="D23" s="15">
        <f>' B2级比赛 '!D23*2.5</f>
        <v>28.75</v>
      </c>
      <c r="E23" s="15">
        <f>' B2级比赛 '!E23*2.5</f>
        <v>20.125</v>
      </c>
      <c r="F23" s="15">
        <f>' B2级比赛 '!F23*2.5</f>
        <v>11.5</v>
      </c>
      <c r="G23" s="15">
        <f>' B2级比赛 '!G23*2.5</f>
        <v>9.58333333333333</v>
      </c>
      <c r="H23" s="15">
        <f>' B2级比赛 '!H23*2.5</f>
        <v>8.21428571428571</v>
      </c>
      <c r="I23" s="15">
        <f>' B2级比赛 '!I23*2.5</f>
        <v>7.1875</v>
      </c>
      <c r="J23" s="15">
        <f>' B2级比赛 '!J23*2.5</f>
        <v>6.38888888888889</v>
      </c>
      <c r="K23" s="15">
        <f>' B2级比赛 '!K23*2.5</f>
        <v>5.75</v>
      </c>
      <c r="L23" s="15">
        <f>' B2级比赛 '!L23*2.5</f>
        <v>5.22727272727273</v>
      </c>
      <c r="M23" s="15">
        <f>' B2级比赛 '!M23*2.5</f>
        <v>4.79166666666667</v>
      </c>
      <c r="N23" s="15">
        <f>' B2级比赛 '!N23*2.5</f>
        <v>4.42307692307692</v>
      </c>
      <c r="O23" s="15">
        <f>' B2级比赛 '!O23*2.5</f>
        <v>4.10714285714286</v>
      </c>
      <c r="P23" s="12">
        <f>' B2级比赛 '!P23*2.5</f>
        <v>3.83333333333333</v>
      </c>
      <c r="Q23" s="12">
        <f>' B2级比赛 '!Q23*2.5</f>
        <v>3.59375</v>
      </c>
      <c r="R23" s="12">
        <f>' B2级比赛 '!R23*2.5</f>
        <v>3.38235294117647</v>
      </c>
      <c r="S23" s="12">
        <f>' B2级比赛 '!S23*2.5</f>
        <v>3.19444444444444</v>
      </c>
      <c r="T23" s="12">
        <f>' B2级比赛 '!T23*2.5</f>
        <v>3.02631578947368</v>
      </c>
      <c r="U23" s="12">
        <f>' B2级比赛 '!U23*2.5</f>
        <v>2.875</v>
      </c>
      <c r="V23" s="13">
        <f>' B2级比赛 '!V23*2.5</f>
        <v>233.703363619095</v>
      </c>
      <c r="W23" s="14">
        <f>' B2级比赛 '!W23*2.5</f>
        <v>3.43681417086904</v>
      </c>
      <c r="X23" s="12"/>
      <c r="Y23" s="12"/>
      <c r="Z23" s="12">
        <f>' B2级比赛 '!Z23*2.5</f>
        <v>0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23"/>
      <c r="BO23" s="23"/>
      <c r="BP23" s="23"/>
      <c r="BQ23" s="23"/>
      <c r="BR23" s="23"/>
      <c r="BS23" s="23"/>
      <c r="BT23" s="23"/>
      <c r="BU23" s="2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</row>
    <row r="24" spans="1:109">
      <c r="A24" s="11" t="s">
        <v>86</v>
      </c>
      <c r="B24" s="12">
        <f>' B2级比赛 '!B24*2.5</f>
        <v>60</v>
      </c>
      <c r="C24" s="12">
        <f>' B2级比赛 '!C24*2.5</f>
        <v>42</v>
      </c>
      <c r="D24" s="15">
        <f>' B2级比赛 '!D24*2.5</f>
        <v>30</v>
      </c>
      <c r="E24" s="15">
        <f>' B2级比赛 '!E24*2.5</f>
        <v>21</v>
      </c>
      <c r="F24" s="15">
        <f>' B2级比赛 '!F24*2.5</f>
        <v>12</v>
      </c>
      <c r="G24" s="15">
        <f>' B2级比赛 '!G24*2.5</f>
        <v>10</v>
      </c>
      <c r="H24" s="15">
        <f>' B2级比赛 '!H24*2.5</f>
        <v>8.57142857142857</v>
      </c>
      <c r="I24" s="15">
        <f>' B2级比赛 '!I24*2.5</f>
        <v>7.5</v>
      </c>
      <c r="J24" s="15">
        <f>' B2级比赛 '!J24*2.5</f>
        <v>6.66666666666667</v>
      </c>
      <c r="K24" s="15">
        <f>' B2级比赛 '!K24*2.5</f>
        <v>6</v>
      </c>
      <c r="L24" s="15">
        <f>' B2级比赛 '!L24*2.5</f>
        <v>5.45454545454545</v>
      </c>
      <c r="M24" s="15">
        <f>' B2级比赛 '!M24*2.5</f>
        <v>5</v>
      </c>
      <c r="N24" s="15">
        <f>' B2级比赛 '!N24*2.5</f>
        <v>4.61538461538462</v>
      </c>
      <c r="O24" s="15">
        <f>' B2级比赛 '!O24*2.5</f>
        <v>4.28571428571429</v>
      </c>
      <c r="P24" s="12">
        <f>' B2级比赛 '!P24*2.5</f>
        <v>4</v>
      </c>
      <c r="Q24" s="12">
        <f>' B2级比赛 '!Q24*2.5</f>
        <v>3.75</v>
      </c>
      <c r="R24" s="12">
        <f>' B2级比赛 '!R24*2.5</f>
        <v>3.52941176470588</v>
      </c>
      <c r="S24" s="12">
        <f>' B2级比赛 '!S24*2.5</f>
        <v>3.33333333333333</v>
      </c>
      <c r="T24" s="12">
        <f>' B2级比赛 '!T24*2.5</f>
        <v>3.15789473684211</v>
      </c>
      <c r="U24" s="12">
        <f>' B2级比赛 '!U24*2.5</f>
        <v>3</v>
      </c>
      <c r="V24" s="12">
        <f>' B2级比赛 '!V24*2.5</f>
        <v>2.85714285714286</v>
      </c>
      <c r="W24" s="13">
        <f>' B2级比赛 '!W24*2.5</f>
        <v>246.721522285764</v>
      </c>
      <c r="X24" s="14">
        <f>' B2级比赛 '!X24*2.5</f>
        <v>3.47495101810935</v>
      </c>
      <c r="Y24" s="12"/>
      <c r="Z24" s="12">
        <f>' B2级比赛 '!Z24*2.5</f>
        <v>0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23"/>
      <c r="BO24" s="23"/>
      <c r="BP24" s="23"/>
      <c r="BQ24" s="23"/>
      <c r="BR24" s="23"/>
      <c r="BS24" s="23"/>
      <c r="BT24" s="23"/>
      <c r="BU24" s="2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</row>
    <row r="25" spans="1:109">
      <c r="A25" s="11" t="s">
        <v>87</v>
      </c>
      <c r="B25" s="12">
        <f>' B2级比赛 '!B25*2.5</f>
        <v>62.5</v>
      </c>
      <c r="C25" s="12">
        <f>' B2级比赛 '!C25*2.5</f>
        <v>43.75</v>
      </c>
      <c r="D25" s="15">
        <f>' B2级比赛 '!D25*2.5</f>
        <v>31.25</v>
      </c>
      <c r="E25" s="15">
        <f>' B2级比赛 '!E25*2.5</f>
        <v>21.875</v>
      </c>
      <c r="F25" s="15">
        <f>' B2级比赛 '!F25*2.5</f>
        <v>12.5</v>
      </c>
      <c r="G25" s="15">
        <f>' B2级比赛 '!G25*2.5</f>
        <v>10.4166666666667</v>
      </c>
      <c r="H25" s="15">
        <f>' B2级比赛 '!H25*2.5</f>
        <v>8.92857142857143</v>
      </c>
      <c r="I25" s="15">
        <f>' B2级比赛 '!I25*2.5</f>
        <v>7.8125</v>
      </c>
      <c r="J25" s="15">
        <f>' B2级比赛 '!J25*2.5</f>
        <v>6.94444444444444</v>
      </c>
      <c r="K25" s="15">
        <f>' B2级比赛 '!K25*2.5</f>
        <v>6.25</v>
      </c>
      <c r="L25" s="15">
        <f>' B2级比赛 '!L25*2.5</f>
        <v>5.68181818181818</v>
      </c>
      <c r="M25" s="15">
        <f>' B2级比赛 '!M25*2.5</f>
        <v>5.20833333333333</v>
      </c>
      <c r="N25" s="15">
        <f>' B2级比赛 '!N25*2.5</f>
        <v>4.80769230769231</v>
      </c>
      <c r="O25" s="15">
        <f>' B2级比赛 '!O25*2.5</f>
        <v>4.46428571428571</v>
      </c>
      <c r="P25" s="12">
        <f>' B2级比赛 '!P25*2.5</f>
        <v>4.16666666666667</v>
      </c>
      <c r="Q25" s="12">
        <f>' B2级比赛 '!Q25*2.5</f>
        <v>3.90625</v>
      </c>
      <c r="R25" s="12">
        <f>' B2级比赛 '!R25*2.5</f>
        <v>3.67647058823529</v>
      </c>
      <c r="S25" s="12">
        <f>' B2级比赛 '!S25*2.5</f>
        <v>3.47222222222222</v>
      </c>
      <c r="T25" s="12">
        <f>' B2级比赛 '!T25*2.5</f>
        <v>3.28947368421053</v>
      </c>
      <c r="U25" s="12">
        <f>' B2级比赛 '!U25*2.5</f>
        <v>3.125</v>
      </c>
      <c r="V25" s="12">
        <f>' B2级比赛 '!V25*2.5</f>
        <v>2.97619047619048</v>
      </c>
      <c r="W25" s="12">
        <f>' B2级比赛 '!W25*2.5</f>
        <v>2.84090909090909</v>
      </c>
      <c r="X25" s="13">
        <f>' B2级比赛 '!X25*2.5</f>
        <v>259.842494805246</v>
      </c>
      <c r="Y25" s="14">
        <f>' B2级比赛 '!Y25*2.5</f>
        <v>3.46456659740328</v>
      </c>
      <c r="Z25" s="12">
        <f>' B2级比赛 '!Z25*2.5</f>
        <v>0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23"/>
      <c r="BO25" s="23"/>
      <c r="BP25" s="23"/>
      <c r="BQ25" s="23"/>
      <c r="BR25" s="23"/>
      <c r="BS25" s="23"/>
      <c r="BT25" s="23"/>
      <c r="BU25" s="2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</row>
    <row r="26" spans="1:109">
      <c r="A26" s="11" t="s">
        <v>88</v>
      </c>
      <c r="B26" s="12">
        <f>' B2级比赛 '!B26*2.5</f>
        <v>65</v>
      </c>
      <c r="C26" s="12">
        <f>' B2级比赛 '!C26*2.5</f>
        <v>45.5</v>
      </c>
      <c r="D26" s="15">
        <f>' B2级比赛 '!D26*2.5</f>
        <v>32.5</v>
      </c>
      <c r="E26" s="15">
        <f>' B2级比赛 '!E26*2.5</f>
        <v>22.75</v>
      </c>
      <c r="F26" s="15">
        <f>' B2级比赛 '!F26*2.5</f>
        <v>13</v>
      </c>
      <c r="G26" s="15">
        <f>' B2级比赛 '!G26*2.5</f>
        <v>10.8333333333333</v>
      </c>
      <c r="H26" s="15">
        <f>' B2级比赛 '!H26*2.5</f>
        <v>9.28571428571429</v>
      </c>
      <c r="I26" s="15">
        <f>' B2级比赛 '!I26*2.5</f>
        <v>8.125</v>
      </c>
      <c r="J26" s="15">
        <f>' B2级比赛 '!J26*2.5</f>
        <v>7.22222222222222</v>
      </c>
      <c r="K26" s="15">
        <f>' B2级比赛 '!K26*2.5</f>
        <v>6.5</v>
      </c>
      <c r="L26" s="15">
        <f>' B2级比赛 '!L26*2.5</f>
        <v>5.90909090909091</v>
      </c>
      <c r="M26" s="15">
        <f>' B2级比赛 '!M26*2.5</f>
        <v>5.41666666666667</v>
      </c>
      <c r="N26" s="15">
        <f>' B2级比赛 '!N26*2.5</f>
        <v>5</v>
      </c>
      <c r="O26" s="15">
        <f>' B2级比赛 '!O26*2.5</f>
        <v>4.64285714285714</v>
      </c>
      <c r="P26" s="12">
        <f>' B2级比赛 '!P26*2.5</f>
        <v>4.33333333333333</v>
      </c>
      <c r="Q26" s="12">
        <f>' B2级比赛 '!Q26*2.5</f>
        <v>4.0625</v>
      </c>
      <c r="R26" s="12">
        <f>' B2级比赛 '!R26*2.5</f>
        <v>3.82352941176471</v>
      </c>
      <c r="S26" s="12">
        <f>' B2级比赛 '!S26*2.5</f>
        <v>3.61111111111111</v>
      </c>
      <c r="T26" s="12">
        <f>' B2级比赛 '!T26*2.5</f>
        <v>3.42105263157895</v>
      </c>
      <c r="U26" s="12">
        <f>' B2级比赛 '!U26*2.5</f>
        <v>3.25</v>
      </c>
      <c r="V26" s="12">
        <f>' B2级比赛 '!V26*2.5</f>
        <v>3.0952380952381</v>
      </c>
      <c r="W26" s="12">
        <f>' B2级比赛 '!W26*2.5</f>
        <v>2.95454545454545</v>
      </c>
      <c r="X26" s="12">
        <f>' B2级比赛 '!X26*2.5</f>
        <v>2.82608695652174</v>
      </c>
      <c r="Y26" s="13">
        <f>' B2级比赛 '!Y26*2.5</f>
        <v>273.062281553978</v>
      </c>
      <c r="Z26" s="14">
        <f>' B2级比赛 '!Z26*2.5</f>
        <v>3.50079848146126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23"/>
      <c r="BO26" s="23"/>
      <c r="BP26" s="23"/>
      <c r="BQ26" s="23"/>
      <c r="BR26" s="23"/>
      <c r="BS26" s="23"/>
      <c r="BT26" s="23"/>
      <c r="BU26" s="2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</row>
    <row r="27" spans="1:109">
      <c r="A27" s="11" t="s">
        <v>89</v>
      </c>
      <c r="B27" s="12">
        <f>' B2级比赛 '!B27*2.5</f>
        <v>70</v>
      </c>
      <c r="C27" s="12">
        <f>' B2级比赛 '!C27*2.5</f>
        <v>49</v>
      </c>
      <c r="D27" s="15">
        <f>' B2级比赛 '!D27*2.5</f>
        <v>35</v>
      </c>
      <c r="E27" s="15">
        <f>' B2级比赛 '!E27*2.5</f>
        <v>24.5</v>
      </c>
      <c r="F27" s="15">
        <f>' B2级比赛 '!F27*2.5</f>
        <v>14</v>
      </c>
      <c r="G27" s="15">
        <f>' B2级比赛 '!G27*2.5</f>
        <v>11.6666666666667</v>
      </c>
      <c r="H27" s="15">
        <f>' B2级比赛 '!H27*2.5</f>
        <v>10</v>
      </c>
      <c r="I27" s="15">
        <f>' B2级比赛 '!I27*2.5</f>
        <v>8.75</v>
      </c>
      <c r="J27" s="15">
        <f>' B2级比赛 '!J27*2.5</f>
        <v>7.77777777777778</v>
      </c>
      <c r="K27" s="15">
        <f>' B2级比赛 '!K27*2.5</f>
        <v>7</v>
      </c>
      <c r="L27" s="15">
        <f>' B2级比赛 '!L27*2.5</f>
        <v>6.36363636363636</v>
      </c>
      <c r="M27" s="15">
        <f>' B2级比赛 '!M27*2.5</f>
        <v>5.83333333333333</v>
      </c>
      <c r="N27" s="15">
        <f>' B2级比赛 '!N27*2.5</f>
        <v>5.38461538461538</v>
      </c>
      <c r="O27" s="15">
        <f>' B2级比赛 '!O27*2.5</f>
        <v>5</v>
      </c>
      <c r="P27" s="12">
        <f>' B2级比赛 '!P27*2.5</f>
        <v>4.66666666666667</v>
      </c>
      <c r="Q27" s="12">
        <f>' B2级比赛 '!Q27*2.5</f>
        <v>4.375</v>
      </c>
      <c r="R27" s="12">
        <f>' B2级比赛 '!R27*2.5</f>
        <v>4.11764705882353</v>
      </c>
      <c r="S27" s="12">
        <f>' B2级比赛 '!S27*2.5</f>
        <v>3.88888888888889</v>
      </c>
      <c r="T27" s="12">
        <f>' B2级比赛 '!T27*2.5</f>
        <v>3.68421052631579</v>
      </c>
      <c r="U27" s="12">
        <f>' B2级比赛 '!U27*2.5</f>
        <v>3.5</v>
      </c>
      <c r="V27" s="12">
        <f>' B2级比赛 '!V27*2.5</f>
        <v>3.33333333333333</v>
      </c>
      <c r="W27" s="12">
        <f>' B2级比赛 '!W27*2.5</f>
        <v>3.18181818181818</v>
      </c>
      <c r="X27" s="12">
        <f>' B2级比赛 '!X27*2.5</f>
        <v>3.04347826086957</v>
      </c>
      <c r="Y27" s="12">
        <f>' B2级比赛 '!Y27*2.5</f>
        <v>2.91666666666667</v>
      </c>
      <c r="Z27" s="13">
        <f>' B2级比赛 '!Z27*2.5</f>
        <v>296.983739109412</v>
      </c>
      <c r="AA27" s="14">
        <f>' B2级比赛 '!AA27*2.5</f>
        <v>3.53552070368348</v>
      </c>
      <c r="AB27" s="12"/>
      <c r="AC27" s="12"/>
      <c r="AD27" s="12"/>
      <c r="AE27" s="12"/>
      <c r="AF27" s="12">
        <f>' B2级比赛 '!AF27*2.5</f>
        <v>0</v>
      </c>
      <c r="AG27" s="12">
        <f>' B2级比赛 '!AG27*2.5</f>
        <v>0</v>
      </c>
      <c r="AH27" s="12">
        <f>' B2级比赛 '!AH27*2.5</f>
        <v>0</v>
      </c>
      <c r="AI27" s="12">
        <f>' B2级比赛 '!AI27*2.5</f>
        <v>0</v>
      </c>
      <c r="AJ27" s="12">
        <f>' B2级比赛 '!AJ27*2.5</f>
        <v>0</v>
      </c>
      <c r="AK27" s="12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23"/>
      <c r="BO27" s="23"/>
      <c r="BP27" s="23"/>
      <c r="BQ27" s="23"/>
      <c r="BR27" s="23"/>
      <c r="BS27" s="23"/>
      <c r="BT27" s="23"/>
      <c r="BU27" s="2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</row>
    <row r="28" spans="1:109">
      <c r="A28" s="11" t="s">
        <v>90</v>
      </c>
      <c r="B28" s="12">
        <f>' B2级比赛 '!B28*2.5</f>
        <v>75</v>
      </c>
      <c r="C28" s="12">
        <f>' B2级比赛 '!C28*2.5</f>
        <v>52.5</v>
      </c>
      <c r="D28" s="15">
        <f>' B2级比赛 '!D28*2.5</f>
        <v>37.5</v>
      </c>
      <c r="E28" s="15">
        <f>' B2级比赛 '!E28*2.5</f>
        <v>26.25</v>
      </c>
      <c r="F28" s="15">
        <f>' B2级比赛 '!F28*2.5</f>
        <v>15</v>
      </c>
      <c r="G28" s="15">
        <f>' B2级比赛 '!G28*2.5</f>
        <v>12.5</v>
      </c>
      <c r="H28" s="15">
        <f>' B2级比赛 '!H28*2.5</f>
        <v>10.7142857142857</v>
      </c>
      <c r="I28" s="15">
        <f>' B2级比赛 '!I28*2.5</f>
        <v>9.375</v>
      </c>
      <c r="J28" s="15">
        <f>' B2级比赛 '!J28*2.5</f>
        <v>8.33333333333333</v>
      </c>
      <c r="K28" s="15">
        <f>' B2级比赛 '!K28*2.5</f>
        <v>7.5</v>
      </c>
      <c r="L28" s="15">
        <f>' B2级比赛 '!L28*2.5</f>
        <v>6.81818181818182</v>
      </c>
      <c r="M28" s="15">
        <f>' B2级比赛 '!M28*2.5</f>
        <v>6.25</v>
      </c>
      <c r="N28" s="15">
        <f>' B2级比赛 '!N28*2.5</f>
        <v>5.76923076923077</v>
      </c>
      <c r="O28" s="15">
        <f>' B2级比赛 '!O28*2.5</f>
        <v>5.35714285714286</v>
      </c>
      <c r="P28" s="12">
        <f>' B2级比赛 '!P28*2.5</f>
        <v>5</v>
      </c>
      <c r="Q28" s="12">
        <f>' B2级比赛 '!Q28*2.5</f>
        <v>4.6875</v>
      </c>
      <c r="R28" s="12">
        <f>' B2级比赛 '!R28*2.5</f>
        <v>4.41176470588235</v>
      </c>
      <c r="S28" s="12">
        <f>' B2级比赛 '!S28*2.5</f>
        <v>4.16666666666667</v>
      </c>
      <c r="T28" s="12">
        <f>' B2级比赛 '!T28*2.5</f>
        <v>3.94736842105263</v>
      </c>
      <c r="U28" s="12">
        <f>' B2级比赛 '!U28*2.5</f>
        <v>3.75</v>
      </c>
      <c r="V28" s="12">
        <f>' B2级比赛 '!V28*2.5</f>
        <v>3.57142857142857</v>
      </c>
      <c r="W28" s="12">
        <f>' B2级比赛 '!W28*2.5</f>
        <v>3.40909090909091</v>
      </c>
      <c r="X28" s="12">
        <f>' B2级比赛 '!X28*2.5</f>
        <v>3.26086956521739</v>
      </c>
      <c r="Y28" s="12">
        <f>' B2级比赛 '!Y28*2.5</f>
        <v>3.125</v>
      </c>
      <c r="Z28" s="12">
        <f>' B2级比赛 '!Z28*2.5</f>
        <v>3</v>
      </c>
      <c r="AA28" s="12">
        <f>' B2级比赛 '!AA28*2.5</f>
        <v>2.88461538461538</v>
      </c>
      <c r="AB28" s="13">
        <f>' B2级比赛 '!AB28*2.5</f>
        <v>324.081478716128</v>
      </c>
      <c r="AC28" s="14">
        <f>' B2级比赛 '!AC28*2.5</f>
        <v>3.68274407631964</v>
      </c>
      <c r="AD28" s="12"/>
      <c r="AE28" s="12"/>
      <c r="AF28" s="12">
        <f>' B2级比赛 '!AF28*2.5</f>
        <v>0</v>
      </c>
      <c r="AG28" s="12">
        <f>' B2级比赛 '!AG28*2.5</f>
        <v>0</v>
      </c>
      <c r="AH28" s="12">
        <f>' B2级比赛 '!AH28*2.5</f>
        <v>0</v>
      </c>
      <c r="AI28" s="12">
        <f>' B2级比赛 '!AI28*2.5</f>
        <v>0</v>
      </c>
      <c r="AJ28" s="12">
        <f>' B2级比赛 '!AJ28*2.5</f>
        <v>0</v>
      </c>
      <c r="AK28" s="12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23"/>
      <c r="BO28" s="23"/>
      <c r="BP28" s="23"/>
      <c r="BQ28" s="23"/>
      <c r="BR28" s="23"/>
      <c r="BS28" s="23"/>
      <c r="BT28" s="23"/>
      <c r="BU28" s="2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</row>
    <row r="29" spans="1:109">
      <c r="A29" s="11" t="s">
        <v>91</v>
      </c>
      <c r="B29" s="12">
        <f>' B2级比赛 '!B29*2.5</f>
        <v>82.5</v>
      </c>
      <c r="C29" s="12">
        <f>' B2级比赛 '!C29*2.5</f>
        <v>57.75</v>
      </c>
      <c r="D29" s="15">
        <f>' B2级比赛 '!D29*2.5</f>
        <v>41.25</v>
      </c>
      <c r="E29" s="15">
        <f>' B2级比赛 '!E29*2.5</f>
        <v>28.875</v>
      </c>
      <c r="F29" s="15">
        <f>' B2级比赛 '!F29*2.5</f>
        <v>16.5</v>
      </c>
      <c r="G29" s="15">
        <f>' B2级比赛 '!G29*2.5</f>
        <v>13.75</v>
      </c>
      <c r="H29" s="15">
        <f>' B2级比赛 '!H29*2.5</f>
        <v>11.7857142857143</v>
      </c>
      <c r="I29" s="15">
        <f>' B2级比赛 '!I29*2.5</f>
        <v>10.3125</v>
      </c>
      <c r="J29" s="15">
        <f>' B2级比赛 '!J29*2.5</f>
        <v>9.16666666666667</v>
      </c>
      <c r="K29" s="15">
        <f>' B2级比赛 '!K29*2.5</f>
        <v>8.25</v>
      </c>
      <c r="L29" s="15">
        <f>' B2级比赛 '!L29*2.5</f>
        <v>7.5</v>
      </c>
      <c r="M29" s="15">
        <f>' B2级比赛 '!M29*2.5</f>
        <v>6.875</v>
      </c>
      <c r="N29" s="15">
        <f>' B2级比赛 '!N29*2.5</f>
        <v>6.34615384615385</v>
      </c>
      <c r="O29" s="15">
        <f>' B2级比赛 '!O29*2.5</f>
        <v>5.89285714285714</v>
      </c>
      <c r="P29" s="12">
        <f>' B2级比赛 '!P29*2.5</f>
        <v>5.5</v>
      </c>
      <c r="Q29" s="12">
        <f>' B2级比赛 '!Q29*2.5</f>
        <v>5.15625</v>
      </c>
      <c r="R29" s="12">
        <f>' B2级比赛 '!R29*2.5</f>
        <v>4.85294117647059</v>
      </c>
      <c r="S29" s="12">
        <f>' B2级比赛 '!S29*2.5</f>
        <v>4.58333333333333</v>
      </c>
      <c r="T29" s="12">
        <f>' B2级比赛 '!T29*2.5</f>
        <v>4.34210526315789</v>
      </c>
      <c r="U29" s="12">
        <f>' B2级比赛 '!U29*2.5</f>
        <v>4.125</v>
      </c>
      <c r="V29" s="12">
        <f>' B2级比赛 '!V29*2.5</f>
        <v>3.92857142857143</v>
      </c>
      <c r="W29" s="12">
        <f>' B2级比赛 '!W29*2.5</f>
        <v>3.75</v>
      </c>
      <c r="X29" s="12">
        <f>' B2级比赛 '!X29*2.5</f>
        <v>3.58695652173913</v>
      </c>
      <c r="Y29" s="12">
        <f>' B2级比赛 '!Y29*2.5</f>
        <v>3.4375</v>
      </c>
      <c r="Z29" s="12">
        <f>' B2级比赛 '!Z29*2.5</f>
        <v>3.3</v>
      </c>
      <c r="AA29" s="12">
        <f>' B2级比赛 '!AA29*2.5</f>
        <v>3.17307692307692</v>
      </c>
      <c r="AB29" s="12">
        <f>' B2级比赛 '!AB29*2.5</f>
        <v>3.05555555555556</v>
      </c>
      <c r="AC29" s="12">
        <f>' B2级比赛 '!AC29*2.5</f>
        <v>2.94642857142857</v>
      </c>
      <c r="AD29" s="13">
        <f>' B2级比赛 '!AD29*2.5</f>
        <v>362.491610714725</v>
      </c>
      <c r="AE29" s="14">
        <f>' B2级比赛 '!AE29*2.5</f>
        <v>3.81570116541816</v>
      </c>
      <c r="AF29" s="12">
        <f>' B2级比赛 '!AF29*2.5</f>
        <v>0</v>
      </c>
      <c r="AG29" s="12">
        <f>' B2级比赛 '!AG29*2.5</f>
        <v>0</v>
      </c>
      <c r="AH29" s="12">
        <f>' B2级比赛 '!AH29*2.5</f>
        <v>0</v>
      </c>
      <c r="AI29" s="12">
        <f>' B2级比赛 '!AI29*2.5</f>
        <v>0</v>
      </c>
      <c r="AJ29" s="12"/>
      <c r="AK29" s="12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23"/>
      <c r="BO29" s="23"/>
      <c r="BP29" s="23"/>
      <c r="BQ29" s="23"/>
      <c r="BR29" s="23"/>
      <c r="BS29" s="23"/>
      <c r="BT29" s="23"/>
      <c r="BU29" s="2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</row>
    <row r="30" spans="1:109">
      <c r="A30" s="11" t="s">
        <v>92</v>
      </c>
      <c r="B30" s="12">
        <f>' B2级比赛 '!B30*2.5</f>
        <v>86.25</v>
      </c>
      <c r="C30" s="12">
        <f>' B2级比赛 '!C30*2.5</f>
        <v>60.375</v>
      </c>
      <c r="D30" s="15">
        <f>' B2级比赛 '!D30*2.5</f>
        <v>43.125</v>
      </c>
      <c r="E30" s="15">
        <f>' B2级比赛 '!E30*2.5</f>
        <v>30.1875</v>
      </c>
      <c r="F30" s="15">
        <f>' B2级比赛 '!F30*2.5</f>
        <v>17.25</v>
      </c>
      <c r="G30" s="15">
        <f>' B2级比赛 '!G30*2.5</f>
        <v>14.375</v>
      </c>
      <c r="H30" s="15">
        <f>' B2级比赛 '!H30*2.5</f>
        <v>12.3214285714286</v>
      </c>
      <c r="I30" s="15">
        <f>' B2级比赛 '!I30*2.5</f>
        <v>10.78125</v>
      </c>
      <c r="J30" s="15">
        <f>' B2级比赛 '!J30*2.5</f>
        <v>9.58333333333333</v>
      </c>
      <c r="K30" s="15">
        <f>' B2级比赛 '!K30*2.5</f>
        <v>8.625</v>
      </c>
      <c r="L30" s="15">
        <f>' B2级比赛 '!L30*2.5</f>
        <v>7.84090909090909</v>
      </c>
      <c r="M30" s="15">
        <f>' B2级比赛 '!M30*2.5</f>
        <v>7.1875</v>
      </c>
      <c r="N30" s="15">
        <f>' B2级比赛 '!N30*2.5</f>
        <v>6.63461538461538</v>
      </c>
      <c r="O30" s="15">
        <f>' B2级比赛 '!O30*2.5</f>
        <v>6.16071428571429</v>
      </c>
      <c r="P30" s="12">
        <f>' B2级比赛 '!P30*2.5</f>
        <v>5.75</v>
      </c>
      <c r="Q30" s="12">
        <f>' B2级比赛 '!Q30*2.5</f>
        <v>5.390625</v>
      </c>
      <c r="R30" s="12">
        <f>' B2级比赛 '!R30*2.5</f>
        <v>5.07352941176471</v>
      </c>
      <c r="S30" s="12">
        <f>' B2级比赛 '!S30*2.5</f>
        <v>4.79166666666667</v>
      </c>
      <c r="T30" s="12">
        <f>' B2级比赛 '!T30*2.5</f>
        <v>4.53947368421053</v>
      </c>
      <c r="U30" s="12">
        <f>' B2级比赛 '!U30*2.5</f>
        <v>4.3125</v>
      </c>
      <c r="V30" s="12">
        <f>' B2级比赛 '!V30*2.5</f>
        <v>4.10714285714286</v>
      </c>
      <c r="W30" s="12">
        <f>' B2级比赛 '!W30*2.5</f>
        <v>3.92045454545455</v>
      </c>
      <c r="X30" s="12">
        <f>' B2级比赛 '!X30*2.5</f>
        <v>3.75</v>
      </c>
      <c r="Y30" s="12">
        <f>' B2级比赛 '!Y30*2.5</f>
        <v>3.59375</v>
      </c>
      <c r="Z30" s="12">
        <f>' B2级比赛 '!Z30*2.5</f>
        <v>3.45</v>
      </c>
      <c r="AA30" s="12">
        <f>' B2级比赛 '!AA30*2.5</f>
        <v>3.31730769230769</v>
      </c>
      <c r="AB30" s="12">
        <f>' B2级比赛 '!AB30*2.5</f>
        <v>3.19444444444444</v>
      </c>
      <c r="AC30" s="12">
        <f>' B2级比赛 '!AC30*2.5</f>
        <v>3.08035714285714</v>
      </c>
      <c r="AD30" s="12">
        <f>' B2级比赛 '!AD30*2.5</f>
        <v>2.97413793103448</v>
      </c>
      <c r="AE30" s="13">
        <f>' B2级比赛 '!AE30*2.5</f>
        <v>381.942640041884</v>
      </c>
      <c r="AF30" s="14">
        <f>' B2级比赛 '!AF30*2.5</f>
        <v>3.8973738779784</v>
      </c>
      <c r="AG30" s="12">
        <f>' B2级比赛 '!AG30*2.5</f>
        <v>0</v>
      </c>
      <c r="AH30" s="12">
        <f>' B2级比赛 '!AH30*2.5</f>
        <v>0</v>
      </c>
      <c r="AI30" s="12"/>
      <c r="AJ30" s="12"/>
      <c r="AK30" s="12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23"/>
      <c r="BO30" s="23"/>
      <c r="BP30" s="23"/>
      <c r="BQ30" s="23"/>
      <c r="BR30" s="23"/>
      <c r="BS30" s="23"/>
      <c r="BT30" s="23"/>
      <c r="BU30" s="2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</row>
    <row r="31" s="2" customFormat="1" spans="1:109">
      <c r="A31" s="16" t="s">
        <v>93</v>
      </c>
      <c r="B31" s="17">
        <f>' B2级比赛 '!B31*2.5</f>
        <v>91.25</v>
      </c>
      <c r="C31" s="17">
        <f>' B2级比赛 '!C31*2.5</f>
        <v>63.875</v>
      </c>
      <c r="D31" s="17">
        <f>' B2级比赛 '!D31*2.5</f>
        <v>45.625</v>
      </c>
      <c r="E31" s="17">
        <f>' B2级比赛 '!E31*2.5</f>
        <v>31.9375</v>
      </c>
      <c r="F31" s="17">
        <f>' B2级比赛 '!F31*2.5</f>
        <v>18.25</v>
      </c>
      <c r="G31" s="17">
        <f>' B2级比赛 '!G31*2.5</f>
        <v>15.2083333333333</v>
      </c>
      <c r="H31" s="17">
        <f>' B2级比赛 '!H31*2.5</f>
        <v>13.0357142857143</v>
      </c>
      <c r="I31" s="17">
        <f>' B2级比赛 '!I31*2.5</f>
        <v>11.40625</v>
      </c>
      <c r="J31" s="17">
        <f>' B2级比赛 '!J31*2.5</f>
        <v>10.1388888888889</v>
      </c>
      <c r="K31" s="17">
        <f>' B2级比赛 '!K31*2.5</f>
        <v>9.125</v>
      </c>
      <c r="L31" s="17">
        <f>' B2级比赛 '!L31*2.5</f>
        <v>8.29545454545455</v>
      </c>
      <c r="M31" s="17">
        <f>' B2级比赛 '!M31*2.5</f>
        <v>7.60416666666667</v>
      </c>
      <c r="N31" s="17">
        <f>' B2级比赛 '!N31*2.5</f>
        <v>7.01923076923077</v>
      </c>
      <c r="O31" s="17">
        <f>' B2级比赛 '!O31*2.5</f>
        <v>6.51785714285714</v>
      </c>
      <c r="P31" s="17">
        <f>' B2级比赛 '!P31*2.5</f>
        <v>6.08333333333333</v>
      </c>
      <c r="Q31" s="17">
        <f>' B2级比赛 '!Q31*2.5</f>
        <v>5.703125</v>
      </c>
      <c r="R31" s="17">
        <f>' B2级比赛 '!R31*2.5</f>
        <v>5.36764705882353</v>
      </c>
      <c r="S31" s="17">
        <f>' B2级比赛 '!S31*2.5</f>
        <v>5.06944444444444</v>
      </c>
      <c r="T31" s="17">
        <f>' B2级比赛 '!T31*2.5</f>
        <v>4.80263157894737</v>
      </c>
      <c r="U31" s="17">
        <f>' B2级比赛 '!U31*2.5</f>
        <v>4.5625</v>
      </c>
      <c r="V31" s="17">
        <f>' B2级比赛 '!V31*2.5</f>
        <v>4.34523809523809</v>
      </c>
      <c r="W31" s="17">
        <f>' B2级比赛 '!W31*2.5</f>
        <v>4.14772727272727</v>
      </c>
      <c r="X31" s="17">
        <f>' B2级比赛 '!X31*2.5</f>
        <v>3.96739130434783</v>
      </c>
      <c r="Y31" s="17">
        <f>' B2级比赛 '!Y31*2.5</f>
        <v>3.80208333333333</v>
      </c>
      <c r="Z31" s="17">
        <f>' B2级比赛 '!Z31*2.5</f>
        <v>3.65</v>
      </c>
      <c r="AA31" s="17">
        <f>' B2级比赛 '!AA31*2.5</f>
        <v>3.50961538461538</v>
      </c>
      <c r="AB31" s="17">
        <f>' B2级比赛 '!AB31*2.5</f>
        <v>3.37962962962963</v>
      </c>
      <c r="AC31" s="17">
        <f>' B2级比赛 '!AC31*2.5</f>
        <v>3.25892857142857</v>
      </c>
      <c r="AD31" s="17">
        <f>' B2级比赛 '!AD31*2.5</f>
        <v>3.14655172413793</v>
      </c>
      <c r="AE31" s="17">
        <f>' B2级比赛 '!AE31*2.5</f>
        <v>3.04166666666667</v>
      </c>
      <c r="AF31" s="17">
        <f>' B2级比赛 '!AF31*2.5</f>
        <v>2.94354838709677</v>
      </c>
      <c r="AG31" s="13">
        <f>' B2级比赛 '!AG31*2.5</f>
        <v>410.069457416916</v>
      </c>
      <c r="AH31" s="14">
        <f>' B2级比赛 '!AH31*2.5</f>
        <v>3.94297555208573</v>
      </c>
      <c r="AI31" s="12"/>
      <c r="AJ31" s="12"/>
      <c r="AK31" s="12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23"/>
      <c r="BO31" s="23"/>
      <c r="BP31" s="23"/>
      <c r="BQ31" s="23"/>
      <c r="BR31" s="23"/>
      <c r="BS31" s="23"/>
      <c r="BT31" s="23"/>
      <c r="BU31" s="2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</row>
    <row r="32" spans="1:109">
      <c r="A32" s="11" t="s">
        <v>94</v>
      </c>
      <c r="B32" s="12">
        <f>' B2级比赛 '!B32*2.5</f>
        <v>93.75</v>
      </c>
      <c r="C32" s="12">
        <f>' B2级比赛 '!C32*2.5</f>
        <v>65.625</v>
      </c>
      <c r="D32" s="15">
        <f>' B2级比赛 '!D32*2.5</f>
        <v>46.875</v>
      </c>
      <c r="E32" s="15">
        <f>' B2级比赛 '!E32*2.5</f>
        <v>32.8125</v>
      </c>
      <c r="F32" s="15">
        <f>' B2级比赛 '!F32*2.5</f>
        <v>18.75</v>
      </c>
      <c r="G32" s="15">
        <f>' B2级比赛 '!G32*2.5</f>
        <v>15.625</v>
      </c>
      <c r="H32" s="15">
        <f>' B2级比赛 '!H32*2.5</f>
        <v>13.3928571428571</v>
      </c>
      <c r="I32" s="15">
        <f>' B2级比赛 '!I32*2.5</f>
        <v>11.71875</v>
      </c>
      <c r="J32" s="15">
        <f>' B2级比赛 '!J32*2.5</f>
        <v>10.4166666666667</v>
      </c>
      <c r="K32" s="15">
        <f>' B2级比赛 '!K32*2.5</f>
        <v>9.375</v>
      </c>
      <c r="L32" s="15">
        <f>' B2级比赛 '!L32*2.5</f>
        <v>8.52272727272727</v>
      </c>
      <c r="M32" s="15">
        <f>' B2级比赛 '!M32*2.5</f>
        <v>7.8125</v>
      </c>
      <c r="N32" s="15">
        <f>' B2级比赛 '!N32*2.5</f>
        <v>7.21153846153846</v>
      </c>
      <c r="O32" s="15">
        <f>' B2级比赛 '!O32*2.5</f>
        <v>6.69642857142857</v>
      </c>
      <c r="P32" s="12">
        <f>' B2级比赛 '!P32*2.5</f>
        <v>6.25</v>
      </c>
      <c r="Q32" s="12">
        <f>' B2级比赛 '!Q32*2.5</f>
        <v>5.859375</v>
      </c>
      <c r="R32" s="12">
        <f>' B2级比赛 '!R32*2.5</f>
        <v>5.51470588235294</v>
      </c>
      <c r="S32" s="12">
        <f>' B2级比赛 '!S32*2.5</f>
        <v>5.20833333333333</v>
      </c>
      <c r="T32" s="12">
        <f>' B2级比赛 '!T32*2.5</f>
        <v>4.93421052631579</v>
      </c>
      <c r="U32" s="12">
        <f>' B2级比赛 '!U32*2.5</f>
        <v>4.6875</v>
      </c>
      <c r="V32" s="12">
        <f>' B2级比赛 '!V32*2.5</f>
        <v>4.46428571428571</v>
      </c>
      <c r="W32" s="12">
        <f>' B2级比赛 '!W32*2.5</f>
        <v>4.26136363636364</v>
      </c>
      <c r="X32" s="12">
        <f>' B2级比赛 '!X32*2.5</f>
        <v>4.07608695652174</v>
      </c>
      <c r="Y32" s="12">
        <f>' B2级比赛 '!Y32*2.5</f>
        <v>3.90625</v>
      </c>
      <c r="Z32" s="12">
        <f>' B2级比赛 '!Z32*2.5</f>
        <v>3.75</v>
      </c>
      <c r="AA32" s="12">
        <f>' B2级比赛 '!AA32*2.5</f>
        <v>3.60576923076923</v>
      </c>
      <c r="AB32" s="12">
        <f>' B2级比赛 '!AB32*2.5</f>
        <v>3.47222222222222</v>
      </c>
      <c r="AC32" s="12">
        <f>' B2级比赛 '!AC32*2.5</f>
        <v>3.34821428571429</v>
      </c>
      <c r="AD32" s="12">
        <f>' B2级比赛 '!AD32*2.5</f>
        <v>3.23275862068966</v>
      </c>
      <c r="AE32" s="12">
        <f>' B2级比赛 '!AE32*2.5</f>
        <v>3.125</v>
      </c>
      <c r="AF32" s="12">
        <f>' B2级比赛 '!AF32*2.5</f>
        <v>3.0241935483871</v>
      </c>
      <c r="AG32" s="12">
        <f>' B2级比赛 '!AG32*2.5</f>
        <v>2.9296875</v>
      </c>
      <c r="AH32" s="13">
        <f>' B2级比赛 '!AH32*2.5</f>
        <v>424.233924572174</v>
      </c>
      <c r="AI32" s="14">
        <f>' B2级比赛 '!AI32*2.5</f>
        <v>3.9280918941868</v>
      </c>
      <c r="AJ32" s="12"/>
      <c r="AK32" s="12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23"/>
      <c r="BO32" s="23"/>
      <c r="BP32" s="23"/>
      <c r="BQ32" s="23"/>
      <c r="BR32" s="23"/>
      <c r="BS32" s="23"/>
      <c r="BT32" s="23"/>
      <c r="BU32" s="2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</row>
    <row r="33" spans="1:109">
      <c r="A33" s="11" t="s">
        <v>95</v>
      </c>
      <c r="B33" s="12">
        <f>' B2级比赛 '!B33*2.5</f>
        <v>98.75</v>
      </c>
      <c r="C33" s="12">
        <f>' B2级比赛 '!C33*2.5</f>
        <v>69.125</v>
      </c>
      <c r="D33" s="15">
        <f>' B2级比赛 '!D33*2.5</f>
        <v>49.375</v>
      </c>
      <c r="E33" s="15">
        <f>' B2级比赛 '!E33*2.5</f>
        <v>34.5625</v>
      </c>
      <c r="F33" s="15">
        <f>' B2级比赛 '!F33*2.5</f>
        <v>19.75</v>
      </c>
      <c r="G33" s="15">
        <f>' B2级比赛 '!G33*2.5</f>
        <v>16.4583333333333</v>
      </c>
      <c r="H33" s="15">
        <f>' B2级比赛 '!H33*2.5</f>
        <v>14.1071428571429</v>
      </c>
      <c r="I33" s="15">
        <f>' B2级比赛 '!I33*2.5</f>
        <v>12.34375</v>
      </c>
      <c r="J33" s="15">
        <f>' B2级比赛 '!J33*2.5</f>
        <v>10.9722222222222</v>
      </c>
      <c r="K33" s="15">
        <f>' B2级比赛 '!K33*2.5</f>
        <v>9.875</v>
      </c>
      <c r="L33" s="15">
        <f>' B2级比赛 '!L33*2.5</f>
        <v>8.97727272727273</v>
      </c>
      <c r="M33" s="15">
        <f>' B2级比赛 '!M33*2.5</f>
        <v>8.22916666666667</v>
      </c>
      <c r="N33" s="15">
        <f>' B2级比赛 '!N33*2.5</f>
        <v>7.59615384615385</v>
      </c>
      <c r="O33" s="15">
        <f>' B2级比赛 '!O33*2.5</f>
        <v>7.05357142857143</v>
      </c>
      <c r="P33" s="12">
        <f>' B2级比赛 '!P33*2.5</f>
        <v>6.58333333333333</v>
      </c>
      <c r="Q33" s="12">
        <f>' B2级比赛 '!Q33*2.5</f>
        <v>6.171875</v>
      </c>
      <c r="R33" s="12">
        <f>' B2级比赛 '!R33*2.5</f>
        <v>5.80882352941177</v>
      </c>
      <c r="S33" s="12">
        <f>' B2级比赛 '!S33*2.5</f>
        <v>5.48611111111111</v>
      </c>
      <c r="T33" s="12">
        <f>' B2级比赛 '!T33*2.5</f>
        <v>5.19736842105263</v>
      </c>
      <c r="U33" s="12">
        <f>' B2级比赛 '!U33*2.5</f>
        <v>4.9375</v>
      </c>
      <c r="V33" s="12">
        <f>' B2级比赛 '!V33*2.5</f>
        <v>4.70238095238095</v>
      </c>
      <c r="W33" s="12">
        <f>' B2级比赛 '!W33*2.5</f>
        <v>4.48863636363636</v>
      </c>
      <c r="X33" s="12">
        <f>' B2级比赛 '!X33*2.5</f>
        <v>4.29347826086957</v>
      </c>
      <c r="Y33" s="12">
        <f>' B2级比赛 '!Y33*2.5</f>
        <v>4.11458333333333</v>
      </c>
      <c r="Z33" s="12">
        <f>' B2级比赛 '!Z33*2.5</f>
        <v>3.95</v>
      </c>
      <c r="AA33" s="12">
        <f>' B2级比赛 '!AA33*2.5</f>
        <v>3.79807692307692</v>
      </c>
      <c r="AB33" s="12">
        <f>' B2级比赛 '!AB33*2.5</f>
        <v>3.65740740740741</v>
      </c>
      <c r="AC33" s="12">
        <f>' B2级比赛 '!AC33*2.5</f>
        <v>3.52678571428571</v>
      </c>
      <c r="AD33" s="12">
        <f>' B2级比赛 '!AD33*2.5</f>
        <v>3.4051724137931</v>
      </c>
      <c r="AE33" s="12">
        <f>' B2级比赛 '!AE33*2.5</f>
        <v>3.29166666666667</v>
      </c>
      <c r="AF33" s="12">
        <f>' B2级比赛 '!AF33*2.5</f>
        <v>3.18548387096774</v>
      </c>
      <c r="AG33" s="12">
        <f>' B2级比赛 '!AG33*2.5</f>
        <v>3.0859375</v>
      </c>
      <c r="AH33" s="12">
        <f>' B2级比赛 '!AH33*2.5</f>
        <v>2.99242424242424</v>
      </c>
      <c r="AI33" s="12">
        <f>' B2级比赛 '!AI33*2.5</f>
        <v>2.90441176470588</v>
      </c>
      <c r="AJ33" s="13">
        <f>' B2级比赛 '!AJ33*2.5</f>
        <v>452.75656988982</v>
      </c>
      <c r="AK33" s="14">
        <f>' B2级比赛 '!AK33*2.5</f>
        <v>3.93701365121582</v>
      </c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23"/>
      <c r="BO33" s="23"/>
      <c r="BP33" s="23"/>
      <c r="BQ33" s="23"/>
      <c r="BR33" s="23"/>
      <c r="BS33" s="23"/>
      <c r="BT33" s="23"/>
      <c r="BU33" s="2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</row>
    <row r="34" spans="1:109">
      <c r="A34" s="11" t="s">
        <v>96</v>
      </c>
      <c r="B34" s="12">
        <f>' B2级比赛 '!B34*2.5</f>
        <v>101.25</v>
      </c>
      <c r="C34" s="12">
        <f>' B2级比赛 '!C34*2.5</f>
        <v>70.875</v>
      </c>
      <c r="D34" s="15">
        <f>' B2级比赛 '!D34*2.5</f>
        <v>50.625</v>
      </c>
      <c r="E34" s="15">
        <f>' B2级比赛 '!E34*2.5</f>
        <v>35.4375</v>
      </c>
      <c r="F34" s="15">
        <f>' B2级比赛 '!F34*2.5</f>
        <v>20.25</v>
      </c>
      <c r="G34" s="15">
        <f>' B2级比赛 '!G34*2.5</f>
        <v>16.875</v>
      </c>
      <c r="H34" s="15">
        <f>' B2级比赛 '!H34*2.5</f>
        <v>14.4642857142857</v>
      </c>
      <c r="I34" s="15">
        <f>' B2级比赛 '!I34*2.5</f>
        <v>12.65625</v>
      </c>
      <c r="J34" s="15">
        <f>' B2级比赛 '!J34*2.5</f>
        <v>11.25</v>
      </c>
      <c r="K34" s="15">
        <f>' B2级比赛 '!K34*2.5</f>
        <v>10.125</v>
      </c>
      <c r="L34" s="15">
        <f>' B2级比赛 '!L34*2.5</f>
        <v>9.20454545454545</v>
      </c>
      <c r="M34" s="15">
        <f>' B2级比赛 '!M34*2.5</f>
        <v>8.4375</v>
      </c>
      <c r="N34" s="15">
        <f>' B2级比赛 '!N34*2.5</f>
        <v>7.78846153846154</v>
      </c>
      <c r="O34" s="15">
        <f>' B2级比赛 '!O34*2.5</f>
        <v>7.23214285714286</v>
      </c>
      <c r="P34" s="12">
        <f>' B2级比赛 '!P34*2.5</f>
        <v>6.75</v>
      </c>
      <c r="Q34" s="12">
        <f>' B2级比赛 '!Q34*2.5</f>
        <v>6.328125</v>
      </c>
      <c r="R34" s="12">
        <f>' B2级比赛 '!R34*2.5</f>
        <v>5.95588235294118</v>
      </c>
      <c r="S34" s="12">
        <f>' B2级比赛 '!S34*2.5</f>
        <v>5.625</v>
      </c>
      <c r="T34" s="12">
        <f>' B2级比赛 '!T34*2.5</f>
        <v>5.32894736842105</v>
      </c>
      <c r="U34" s="12">
        <f>' B2级比赛 '!U34*2.5</f>
        <v>5.0625</v>
      </c>
      <c r="V34" s="12">
        <f>' B2级比赛 '!V34*2.5</f>
        <v>4.82142857142857</v>
      </c>
      <c r="W34" s="12">
        <f>' B2级比赛 '!W34*2.5</f>
        <v>4.60227272727273</v>
      </c>
      <c r="X34" s="12">
        <f>' B2级比赛 '!X34*2.5</f>
        <v>4.40217391304348</v>
      </c>
      <c r="Y34" s="12">
        <f>' B2级比赛 '!Y34*2.5</f>
        <v>4.21875</v>
      </c>
      <c r="Z34" s="12">
        <f>' B2级比赛 '!Z34*2.5</f>
        <v>4.05</v>
      </c>
      <c r="AA34" s="12">
        <f>' B2级比赛 '!AA34*2.5</f>
        <v>3.89423076923077</v>
      </c>
      <c r="AB34" s="12">
        <f>' B2级比赛 '!AB34*2.5</f>
        <v>3.75</v>
      </c>
      <c r="AC34" s="12">
        <f>' B2级比赛 '!AC34*2.5</f>
        <v>3.61607142857143</v>
      </c>
      <c r="AD34" s="12">
        <f>' B2级比赛 '!AD34*2.5</f>
        <v>3.49137931034483</v>
      </c>
      <c r="AE34" s="12">
        <f>' B2级比赛 '!AE34*2.5</f>
        <v>3.375</v>
      </c>
      <c r="AF34" s="12">
        <f>' B2级比赛 '!AF34*2.5</f>
        <v>3.26612903225806</v>
      </c>
      <c r="AG34" s="12">
        <f>' B2级比赛 '!AG34*2.5</f>
        <v>3.1640625</v>
      </c>
      <c r="AH34" s="12">
        <f>' B2级比赛 '!AH34*2.5</f>
        <v>3.06818181818182</v>
      </c>
      <c r="AI34" s="12">
        <f>' B2级比赛 '!AI34*2.5</f>
        <v>2.97794117647059</v>
      </c>
      <c r="AJ34" s="12">
        <f>' B2级比赛 '!AJ34*2.5</f>
        <v>2.89285714285714</v>
      </c>
      <c r="AK34" s="13">
        <f>' B2级比赛 '!AK34*2.5</f>
        <v>467.111618675457</v>
      </c>
      <c r="AL34" s="20">
        <f>' B2级比赛 '!AL34*2.5</f>
        <v>3.95857303962252</v>
      </c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23"/>
      <c r="BO34" s="23"/>
      <c r="BP34" s="23"/>
      <c r="BQ34" s="23"/>
      <c r="BR34" s="23"/>
      <c r="BS34" s="23"/>
      <c r="BT34" s="23"/>
      <c r="BU34" s="2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</row>
    <row r="35" spans="1:109">
      <c r="A35" s="11" t="s">
        <v>97</v>
      </c>
      <c r="B35" s="12">
        <f>' B2级比赛 '!B35*2.5</f>
        <v>106.25</v>
      </c>
      <c r="C35" s="12">
        <f>' B2级比赛 '!C35*2.5</f>
        <v>74.375</v>
      </c>
      <c r="D35" s="15">
        <f>' B2级比赛 '!D35*2.5</f>
        <v>53.125</v>
      </c>
      <c r="E35" s="15">
        <f>' B2级比赛 '!E35*2.5</f>
        <v>37.1875</v>
      </c>
      <c r="F35" s="15">
        <f>' B2级比赛 '!F35*2.5</f>
        <v>21.25</v>
      </c>
      <c r="G35" s="15">
        <f>' B2级比赛 '!G35*2.5</f>
        <v>17.7083333333333</v>
      </c>
      <c r="H35" s="15">
        <f>' B2级比赛 '!H35*2.5</f>
        <v>15.1785714285714</v>
      </c>
      <c r="I35" s="15">
        <f>' B2级比赛 '!I35*2.5</f>
        <v>13.28125</v>
      </c>
      <c r="J35" s="15">
        <f>' B2级比赛 '!J35*2.5</f>
        <v>11.8055555555556</v>
      </c>
      <c r="K35" s="15">
        <f>' B2级比赛 '!K35*2.5</f>
        <v>10.625</v>
      </c>
      <c r="L35" s="15">
        <f>' B2级比赛 '!L35*2.5</f>
        <v>9.65909090909091</v>
      </c>
      <c r="M35" s="15">
        <f>' B2级比赛 '!M35*2.5</f>
        <v>8.85416666666667</v>
      </c>
      <c r="N35" s="15">
        <f>' B2级比赛 '!N35*2.5</f>
        <v>8.17307692307692</v>
      </c>
      <c r="O35" s="15">
        <f>' B2级比赛 '!O35*2.5</f>
        <v>7.58928571428571</v>
      </c>
      <c r="P35" s="12">
        <f>' B2级比赛 '!P35*2.5</f>
        <v>7.08333333333333</v>
      </c>
      <c r="Q35" s="12">
        <f>' B2级比赛 '!Q35*2.5</f>
        <v>6.640625</v>
      </c>
      <c r="R35" s="12">
        <f>' B2级比赛 '!R35*2.5</f>
        <v>6.25</v>
      </c>
      <c r="S35" s="12">
        <f>' B2级比赛 '!S35*2.5</f>
        <v>5.90277777777778</v>
      </c>
      <c r="T35" s="12">
        <f>' B2级比赛 '!T35*2.5</f>
        <v>5.59210526315789</v>
      </c>
      <c r="U35" s="12">
        <f>' B2级比赛 '!U35*2.5</f>
        <v>5.3125</v>
      </c>
      <c r="V35" s="12">
        <f>' B2级比赛 '!V35*2.5</f>
        <v>5.05952380952381</v>
      </c>
      <c r="W35" s="12">
        <f>' B2级比赛 '!W35*2.5</f>
        <v>4.82954545454546</v>
      </c>
      <c r="X35" s="12">
        <f>' B2级比赛 '!X35*2.5</f>
        <v>4.6195652173913</v>
      </c>
      <c r="Y35" s="12">
        <f>' B2级比赛 '!Y35*2.5</f>
        <v>4.42708333333333</v>
      </c>
      <c r="Z35" s="12">
        <f>' B2级比赛 '!Z35*2.5</f>
        <v>4.25</v>
      </c>
      <c r="AA35" s="12">
        <f>' B2级比赛 '!AA35*2.5</f>
        <v>4.08653846153846</v>
      </c>
      <c r="AB35" s="12">
        <f>' B2级比赛 '!AB35*2.5</f>
        <v>3.93518518518519</v>
      </c>
      <c r="AC35" s="12">
        <f>' B2级比赛 '!AC35*2.5</f>
        <v>3.79464285714286</v>
      </c>
      <c r="AD35" s="12">
        <f>' B2级比赛 '!AD35*2.5</f>
        <v>3.66379310344828</v>
      </c>
      <c r="AE35" s="12">
        <f>' B2级比赛 '!AE35*2.5</f>
        <v>3.54166666666667</v>
      </c>
      <c r="AF35" s="12">
        <f>' B2级比赛 '!AF35*2.5</f>
        <v>3.42741935483871</v>
      </c>
      <c r="AG35" s="12">
        <f>' B2级比赛 '!AG35*2.5</f>
        <v>3.3203125</v>
      </c>
      <c r="AH35" s="12">
        <f>' B2级比赛 '!AH35*2.5</f>
        <v>3.21969696969697</v>
      </c>
      <c r="AI35" s="12">
        <f>' B2级比赛 '!AI35*2.5</f>
        <v>3.125</v>
      </c>
      <c r="AJ35" s="12">
        <f>' B2级比赛 '!AJ35*2.5</f>
        <v>3.03571428571429</v>
      </c>
      <c r="AK35" s="12">
        <f>' B2级比赛 '!AK35*2.5</f>
        <v>2.95138888888889</v>
      </c>
      <c r="AL35" s="12">
        <f>' B2级比赛 '!AL35*2.5</f>
        <v>2.87162162162162</v>
      </c>
      <c r="AM35" s="21">
        <f>' B2级比赛 '!AM35*2.5</f>
        <v>496.001869614385</v>
      </c>
      <c r="AN35" s="20">
        <f>' B2级比赛 '!AN35*2.5</f>
        <v>4.00001507753537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23"/>
      <c r="BO35" s="23"/>
      <c r="BP35" s="23"/>
      <c r="BQ35" s="23"/>
      <c r="BR35" s="23"/>
      <c r="BS35" s="23"/>
      <c r="BT35" s="23"/>
      <c r="BU35" s="2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</row>
    <row r="36" spans="1:109">
      <c r="A36" s="11" t="s">
        <v>98</v>
      </c>
      <c r="B36" s="12">
        <f>' B2级比赛 '!B36*2.5</f>
        <v>110.5</v>
      </c>
      <c r="C36" s="12">
        <f>' B2级比赛 '!C36*2.5</f>
        <v>77.35</v>
      </c>
      <c r="D36" s="15">
        <f>' B2级比赛 '!D36*2.5</f>
        <v>55.25</v>
      </c>
      <c r="E36" s="15">
        <f>' B2级比赛 '!E36*2.5</f>
        <v>38.675</v>
      </c>
      <c r="F36" s="15">
        <f>' B2级比赛 '!F36*2.5</f>
        <v>22.1</v>
      </c>
      <c r="G36" s="15">
        <f>' B2级比赛 '!G36*2.5</f>
        <v>18.4166666666667</v>
      </c>
      <c r="H36" s="15">
        <f>' B2级比赛 '!H36*2.5</f>
        <v>15.7857142857143</v>
      </c>
      <c r="I36" s="15">
        <f>' B2级比赛 '!I36*2.5</f>
        <v>13.8125</v>
      </c>
      <c r="J36" s="15">
        <f>' B2级比赛 '!J36*2.5</f>
        <v>12.2777777777778</v>
      </c>
      <c r="K36" s="15">
        <f>' B2级比赛 '!K36*2.5</f>
        <v>11.05</v>
      </c>
      <c r="L36" s="15">
        <f>' B2级比赛 '!L36*2.5</f>
        <v>10.0454545454545</v>
      </c>
      <c r="M36" s="15">
        <f>' B2级比赛 '!M36*2.5</f>
        <v>9.20833333333333</v>
      </c>
      <c r="N36" s="15">
        <f>' B2级比赛 '!N36*2.5</f>
        <v>8.5</v>
      </c>
      <c r="O36" s="15">
        <f>' B2级比赛 '!O36*2.5</f>
        <v>7.89285714285714</v>
      </c>
      <c r="P36" s="12">
        <f>' B2级比赛 '!P36*2.5</f>
        <v>7.36666666666667</v>
      </c>
      <c r="Q36" s="12">
        <f>' B2级比赛 '!Q36*2.5</f>
        <v>6.90625</v>
      </c>
      <c r="R36" s="12">
        <f>' B2级比赛 '!R36*2.5</f>
        <v>6.5</v>
      </c>
      <c r="S36" s="12">
        <f>' B2级比赛 '!S36*2.5</f>
        <v>6.13888888888889</v>
      </c>
      <c r="T36" s="12">
        <f>' B2级比赛 '!T36*2.5</f>
        <v>5.81578947368421</v>
      </c>
      <c r="U36" s="12">
        <f>' B2级比赛 '!U36*2.5</f>
        <v>5.525</v>
      </c>
      <c r="V36" s="12">
        <f>' B2级比赛 '!V36*2.5</f>
        <v>5.26190476190476</v>
      </c>
      <c r="W36" s="12">
        <f>' B2级比赛 '!W36*2.5</f>
        <v>5.02272727272727</v>
      </c>
      <c r="X36" s="12">
        <f>' B2级比赛 '!X36*2.5</f>
        <v>4.80434782608696</v>
      </c>
      <c r="Y36" s="12">
        <f>' B2级比赛 '!Y36*2.5</f>
        <v>4.60416666666667</v>
      </c>
      <c r="Z36" s="12">
        <f>' B2级比赛 '!Z36*2.5</f>
        <v>4.42</v>
      </c>
      <c r="AA36" s="12">
        <f>' B2级比赛 '!AA36*2.5</f>
        <v>4.25</v>
      </c>
      <c r="AB36" s="12">
        <f>' B2级比赛 '!AB36*2.5</f>
        <v>4.09259259259259</v>
      </c>
      <c r="AC36" s="12">
        <f>' B2级比赛 '!AC36*2.5</f>
        <v>3.94642857142857</v>
      </c>
      <c r="AD36" s="12">
        <f>' B2级比赛 '!AD36*2.5</f>
        <v>3.81034482758621</v>
      </c>
      <c r="AE36" s="12">
        <f>' B2级比赛 '!AE36*2.5</f>
        <v>3.68333333333333</v>
      </c>
      <c r="AF36" s="12">
        <f>' B2级比赛 '!AF36*2.5</f>
        <v>3.56451612903226</v>
      </c>
      <c r="AG36" s="12">
        <f>' B2级比赛 '!AG36*2.5</f>
        <v>3.453125</v>
      </c>
      <c r="AH36" s="12">
        <f>' B2级比赛 '!AH36*2.5</f>
        <v>3.34848484848485</v>
      </c>
      <c r="AI36" s="12">
        <f>' B2级比赛 '!AI36*2.5</f>
        <v>3.25</v>
      </c>
      <c r="AJ36" s="12">
        <f>' B2级比赛 '!AJ36*2.5</f>
        <v>3.15714285714286</v>
      </c>
      <c r="AK36" s="12">
        <f>' B2级比赛 '!AK36*2.5</f>
        <v>3.06944444444444</v>
      </c>
      <c r="AL36" s="12">
        <f>' B2级比赛 '!AL36*2.5</f>
        <v>2.98648648648649</v>
      </c>
      <c r="AM36" s="12">
        <f>' B2级比赛 '!AM36*2.5</f>
        <v>2.90789473684211</v>
      </c>
      <c r="AN36" s="21">
        <f>' B2级比赛 '!AN36*2.5</f>
        <v>518.749839135803</v>
      </c>
      <c r="AO36" s="20">
        <f>' B2级比赛 '!AO36*2.5</f>
        <v>4.02131658244808</v>
      </c>
      <c r="AP36" s="18"/>
      <c r="AQ36" s="18"/>
      <c r="AR36" s="18"/>
      <c r="AS36" s="18"/>
      <c r="AT36" s="18"/>
      <c r="AU36" s="18">
        <f>' B2级比赛 '!AU36*2.5</f>
        <v>0</v>
      </c>
      <c r="AV36" s="18"/>
      <c r="AW36" s="18"/>
      <c r="AX36" s="18">
        <f>' B2级比赛 '!AX36*2.5</f>
        <v>0</v>
      </c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23"/>
      <c r="BO36" s="23"/>
      <c r="BP36" s="23"/>
      <c r="BQ36" s="23"/>
      <c r="BR36" s="23"/>
      <c r="BS36" s="23"/>
      <c r="BT36" s="23"/>
      <c r="BU36" s="2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</row>
    <row r="37" spans="1:109">
      <c r="A37" s="11" t="s">
        <v>99</v>
      </c>
      <c r="B37" s="12">
        <f>' B2级比赛 '!B37*2.5</f>
        <v>113</v>
      </c>
      <c r="C37" s="12">
        <f>' B2级比赛 '!C37*2.5</f>
        <v>79.1</v>
      </c>
      <c r="D37" s="15">
        <f>' B2级比赛 '!D37*2.5</f>
        <v>56.5</v>
      </c>
      <c r="E37" s="15">
        <f>' B2级比赛 '!E37*2.5</f>
        <v>39.55</v>
      </c>
      <c r="F37" s="15">
        <f>' B2级比赛 '!F37*2.5</f>
        <v>22.6</v>
      </c>
      <c r="G37" s="15">
        <f>' B2级比赛 '!G37*2.5</f>
        <v>18.8333333333333</v>
      </c>
      <c r="H37" s="15">
        <f>' B2级比赛 '!H37*2.5</f>
        <v>16.1428571428571</v>
      </c>
      <c r="I37" s="15">
        <f>' B2级比赛 '!I37*2.5</f>
        <v>14.125</v>
      </c>
      <c r="J37" s="15">
        <f>' B2级比赛 '!J37*2.5</f>
        <v>12.5555555555556</v>
      </c>
      <c r="K37" s="15">
        <f>' B2级比赛 '!K37*2.5</f>
        <v>11.3</v>
      </c>
      <c r="L37" s="15">
        <f>' B2级比赛 '!L37*2.5</f>
        <v>10.2727272727273</v>
      </c>
      <c r="M37" s="15">
        <f>' B2级比赛 '!M37*2.5</f>
        <v>9.41666666666667</v>
      </c>
      <c r="N37" s="15">
        <f>' B2级比赛 '!N37*2.5</f>
        <v>8.69230769230769</v>
      </c>
      <c r="O37" s="15">
        <f>' B2级比赛 '!O37*2.5</f>
        <v>8.07142857142857</v>
      </c>
      <c r="P37" s="12">
        <f>' B2级比赛 '!P37*2.5</f>
        <v>7.53333333333333</v>
      </c>
      <c r="Q37" s="12">
        <f>' B2级比赛 '!Q37*2.5</f>
        <v>7.0625</v>
      </c>
      <c r="R37" s="12">
        <f>' B2级比赛 '!R37*2.5</f>
        <v>6.64705882352941</v>
      </c>
      <c r="S37" s="12">
        <f>' B2级比赛 '!S37*2.5</f>
        <v>6.27777777777778</v>
      </c>
      <c r="T37" s="12">
        <f>' B2级比赛 '!T37*2.5</f>
        <v>5.94736842105263</v>
      </c>
      <c r="U37" s="12">
        <f>' B2级比赛 '!U37*2.5</f>
        <v>5.65</v>
      </c>
      <c r="V37" s="12">
        <f>' B2级比赛 '!V37*2.5</f>
        <v>5.38095238095238</v>
      </c>
      <c r="W37" s="12">
        <f>' B2级比赛 '!W37*2.5</f>
        <v>5.13636363636364</v>
      </c>
      <c r="X37" s="12">
        <f>' B2级比赛 '!X37*2.5</f>
        <v>4.91304347826087</v>
      </c>
      <c r="Y37" s="12">
        <f>' B2级比赛 '!Y37*2.5</f>
        <v>4.70833333333333</v>
      </c>
      <c r="Z37" s="12">
        <f>' B2级比赛 '!Z37*2.5</f>
        <v>4.52</v>
      </c>
      <c r="AA37" s="12">
        <f>' B2级比赛 '!AA37*2.5</f>
        <v>4.34615384615385</v>
      </c>
      <c r="AB37" s="12">
        <f>' B2级比赛 '!AB37*2.5</f>
        <v>4.18518518518519</v>
      </c>
      <c r="AC37" s="12">
        <f>' B2级比赛 '!AC37*2.5</f>
        <v>4.03571428571429</v>
      </c>
      <c r="AD37" s="12">
        <f>' B2级比赛 '!AD37*2.5</f>
        <v>3.89655172413793</v>
      </c>
      <c r="AE37" s="12">
        <f>' B2级比赛 '!AE37*2.5</f>
        <v>3.76666666666667</v>
      </c>
      <c r="AF37" s="12">
        <f>' B2级比赛 '!AF37*2.5</f>
        <v>3.64516129032258</v>
      </c>
      <c r="AG37" s="12">
        <f>' B2级比赛 '!AG37*2.5</f>
        <v>3.53125</v>
      </c>
      <c r="AH37" s="12">
        <f>' B2级比赛 '!AH37*2.5</f>
        <v>3.42424242424242</v>
      </c>
      <c r="AI37" s="12">
        <f>' B2级比赛 '!AI37*2.5</f>
        <v>3.32352941176471</v>
      </c>
      <c r="AJ37" s="12">
        <f>' B2级比赛 '!AJ37*2.5</f>
        <v>3.22857142857143</v>
      </c>
      <c r="AK37" s="12">
        <f>' B2级比赛 '!AK37*2.5</f>
        <v>3.13888888888889</v>
      </c>
      <c r="AL37" s="12">
        <f>' B2级比赛 '!AL37*2.5</f>
        <v>3.05405405405405</v>
      </c>
      <c r="AM37" s="12">
        <f>' B2级比赛 '!AM37*2.5</f>
        <v>2.97368421052632</v>
      </c>
      <c r="AN37" s="12">
        <f>' B2级比赛 '!AN37*2.5</f>
        <v>2.8974358974359</v>
      </c>
      <c r="AO37" s="12">
        <f>' B2级比赛 '!AO37*2.5</f>
        <v>2.825</v>
      </c>
      <c r="AP37" s="21">
        <f>' B2级比赛 '!AP37*2.5</f>
        <v>536.208696733144</v>
      </c>
      <c r="AQ37" s="20">
        <f>' B2级比赛 '!AQ37*2.5</f>
        <v>4.00155743830704</v>
      </c>
      <c r="AR37" s="18"/>
      <c r="AS37" s="18"/>
      <c r="AT37" s="18"/>
      <c r="AU37" s="18">
        <f>' B2级比赛 '!AU37*2.5</f>
        <v>0</v>
      </c>
      <c r="AV37" s="18"/>
      <c r="AW37" s="18"/>
      <c r="AX37" s="18">
        <f>' B2级比赛 '!AX37*2.5</f>
        <v>0</v>
      </c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23"/>
      <c r="BO37" s="23"/>
      <c r="BP37" s="23"/>
      <c r="BQ37" s="23"/>
      <c r="BR37" s="23"/>
      <c r="BS37" s="23"/>
      <c r="BT37" s="23"/>
      <c r="BU37" s="2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</row>
    <row r="38" spans="1:109">
      <c r="A38" s="11" t="s">
        <v>100</v>
      </c>
      <c r="B38" s="12">
        <f>' B2级比赛 '!B38*2.5</f>
        <v>116.25</v>
      </c>
      <c r="C38" s="12">
        <f>' B2级比赛 '!C38*2.5</f>
        <v>81.375</v>
      </c>
      <c r="D38" s="15">
        <f>' B2级比赛 '!D38*2.5</f>
        <v>58.125</v>
      </c>
      <c r="E38" s="15">
        <f>' B2级比赛 '!E38*2.5</f>
        <v>40.6875</v>
      </c>
      <c r="F38" s="15">
        <f>' B2级比赛 '!F38*2.5</f>
        <v>23.25</v>
      </c>
      <c r="G38" s="15">
        <f>' B2级比赛 '!G38*2.5</f>
        <v>19.375</v>
      </c>
      <c r="H38" s="15">
        <f>' B2级比赛 '!H38*2.5</f>
        <v>16.6071428571429</v>
      </c>
      <c r="I38" s="15">
        <f>' B2级比赛 '!I38*2.5</f>
        <v>14.53125</v>
      </c>
      <c r="J38" s="15">
        <f>' B2级比赛 '!J38*2.5</f>
        <v>12.9166666666667</v>
      </c>
      <c r="K38" s="15">
        <f>' B2级比赛 '!K38*2.5</f>
        <v>11.625</v>
      </c>
      <c r="L38" s="15">
        <f>' B2级比赛 '!L38*2.5</f>
        <v>10.5681818181818</v>
      </c>
      <c r="M38" s="15">
        <f>' B2级比赛 '!M38*2.5</f>
        <v>9.6875</v>
      </c>
      <c r="N38" s="15">
        <f>' B2级比赛 '!N38*2.5</f>
        <v>8.94230769230769</v>
      </c>
      <c r="O38" s="15">
        <f>' B2级比赛 '!O38*2.5</f>
        <v>8.30357142857143</v>
      </c>
      <c r="P38" s="12">
        <f>' B2级比赛 '!P38*2.5</f>
        <v>7.75</v>
      </c>
      <c r="Q38" s="12">
        <f>' B2级比赛 '!Q38*2.5</f>
        <v>7.265625</v>
      </c>
      <c r="R38" s="12">
        <f>' B2级比赛 '!R38*2.5</f>
        <v>6.83823529411765</v>
      </c>
      <c r="S38" s="12">
        <f>' B2级比赛 '!S38*2.5</f>
        <v>6.45833333333333</v>
      </c>
      <c r="T38" s="12">
        <f>' B2级比赛 '!T38*2.5</f>
        <v>6.11842105263158</v>
      </c>
      <c r="U38" s="12">
        <f>' B2级比赛 '!U38*2.5</f>
        <v>5.8125</v>
      </c>
      <c r="V38" s="12">
        <f>' B2级比赛 '!V38*2.5</f>
        <v>5.53571428571429</v>
      </c>
      <c r="W38" s="12">
        <f>' B2级比赛 '!W38*2.5</f>
        <v>5.28409090909091</v>
      </c>
      <c r="X38" s="12">
        <f>' B2级比赛 '!X38*2.5</f>
        <v>5.05434782608696</v>
      </c>
      <c r="Y38" s="12">
        <f>' B2级比赛 '!Y38*2.5</f>
        <v>4.84375</v>
      </c>
      <c r="Z38" s="12">
        <f>' B2级比赛 '!Z38*2.5</f>
        <v>4.65</v>
      </c>
      <c r="AA38" s="12">
        <f>' B2级比赛 '!AA38*2.5</f>
        <v>4.47115384615385</v>
      </c>
      <c r="AB38" s="12">
        <f>' B2级比赛 '!AB38*2.5</f>
        <v>4.30555555555556</v>
      </c>
      <c r="AC38" s="12">
        <f>' B2级比赛 '!AC38*2.5</f>
        <v>4.15178571428571</v>
      </c>
      <c r="AD38" s="12">
        <f>' B2级比赛 '!AD38*2.5</f>
        <v>4.00862068965517</v>
      </c>
      <c r="AE38" s="12">
        <f>' B2级比赛 '!AE38*2.5</f>
        <v>3.875</v>
      </c>
      <c r="AF38" s="12">
        <f>' B2级比赛 '!AF38*2.5</f>
        <v>3.75</v>
      </c>
      <c r="AG38" s="12">
        <f>' B2级比赛 '!AG38*2.5</f>
        <v>3.6328125</v>
      </c>
      <c r="AH38" s="12">
        <f>' B2级比赛 '!AH38*2.5</f>
        <v>3.52272727272727</v>
      </c>
      <c r="AI38" s="12">
        <f>' B2级比赛 '!AI38*2.5</f>
        <v>3.41911764705882</v>
      </c>
      <c r="AJ38" s="12">
        <f>' B2级比赛 '!AJ38*2.5</f>
        <v>3.32142857142857</v>
      </c>
      <c r="AK38" s="12">
        <f>' B2级比赛 '!AK38*2.5</f>
        <v>3.22916666666667</v>
      </c>
      <c r="AL38" s="12">
        <f>' B2级比赛 '!AL38*2.5</f>
        <v>3.14189189189189</v>
      </c>
      <c r="AM38" s="12">
        <f>' B2级比赛 '!AM38*2.5</f>
        <v>3.05921052631579</v>
      </c>
      <c r="AN38" s="12">
        <f>' B2级比赛 '!AN38*2.5</f>
        <v>2.98076923076923</v>
      </c>
      <c r="AO38" s="12">
        <f>' B2级比赛 '!AO38*2.5</f>
        <v>2.90625</v>
      </c>
      <c r="AP38" s="12">
        <f>' B2级比赛 '!AP38*2.5</f>
        <v>2.83536585365854</v>
      </c>
      <c r="AQ38" s="21">
        <f>' B2级比赛 '!AQ38*2.5</f>
        <v>554.465994130012</v>
      </c>
      <c r="AR38" s="20">
        <f>' B2级比赛 '!AR38*2.5</f>
        <v>3.98896398654685</v>
      </c>
      <c r="AS38" s="18"/>
      <c r="AT38" s="18"/>
      <c r="AU38" s="18">
        <f>' B2级比赛 '!AU38*2.5</f>
        <v>0</v>
      </c>
      <c r="AV38" s="18"/>
      <c r="AW38" s="18"/>
      <c r="AX38" s="18">
        <f>' B2级比赛 '!AX38*2.5</f>
        <v>0</v>
      </c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23"/>
      <c r="BO38" s="23"/>
      <c r="BP38" s="23"/>
      <c r="BQ38" s="23"/>
      <c r="BR38" s="23"/>
      <c r="BS38" s="23"/>
      <c r="BT38" s="23"/>
      <c r="BU38" s="2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</row>
    <row r="39" spans="1:109">
      <c r="A39" s="11" t="s">
        <v>101</v>
      </c>
      <c r="B39" s="12">
        <f>' B2级比赛 '!B39*2.5</f>
        <v>120</v>
      </c>
      <c r="C39" s="12">
        <f>' B2级比赛 '!C39*2.5</f>
        <v>84</v>
      </c>
      <c r="D39" s="15">
        <f>' B2级比赛 '!D39*2.5</f>
        <v>60</v>
      </c>
      <c r="E39" s="15">
        <f>' B2级比赛 '!E39*2.5</f>
        <v>42</v>
      </c>
      <c r="F39" s="15">
        <f>' B2级比赛 '!F39*2.5</f>
        <v>24</v>
      </c>
      <c r="G39" s="15">
        <f>' B2级比赛 '!G39*2.5</f>
        <v>20</v>
      </c>
      <c r="H39" s="15">
        <f>' B2级比赛 '!H39*2.5</f>
        <v>17.1428571428571</v>
      </c>
      <c r="I39" s="15">
        <f>' B2级比赛 '!I39*2.5</f>
        <v>15</v>
      </c>
      <c r="J39" s="15">
        <f>' B2级比赛 '!J39*2.5</f>
        <v>13.3333333333333</v>
      </c>
      <c r="K39" s="15">
        <f>' B2级比赛 '!K39*2.5</f>
        <v>12</v>
      </c>
      <c r="L39" s="15">
        <f>' B2级比赛 '!L39*2.5</f>
        <v>10.9090909090909</v>
      </c>
      <c r="M39" s="15">
        <f>' B2级比赛 '!M39*2.5</f>
        <v>10</v>
      </c>
      <c r="N39" s="15">
        <f>' B2级比赛 '!N39*2.5</f>
        <v>9.23076923076923</v>
      </c>
      <c r="O39" s="15">
        <f>' B2级比赛 '!O39*2.5</f>
        <v>8.57142857142857</v>
      </c>
      <c r="P39" s="12">
        <f>' B2级比赛 '!P39*2.5</f>
        <v>8</v>
      </c>
      <c r="Q39" s="12">
        <f>' B2级比赛 '!Q39*2.5</f>
        <v>7.5</v>
      </c>
      <c r="R39" s="12">
        <f>' B2级比赛 '!R39*2.5</f>
        <v>7.05882352941177</v>
      </c>
      <c r="S39" s="12">
        <f>' B2级比赛 '!S39*2.5</f>
        <v>6.66666666666667</v>
      </c>
      <c r="T39" s="12">
        <f>' B2级比赛 '!T39*2.5</f>
        <v>6.31578947368421</v>
      </c>
      <c r="U39" s="12">
        <f>' B2级比赛 '!U39*2.5</f>
        <v>6</v>
      </c>
      <c r="V39" s="12">
        <f>' B2级比赛 '!V39*2.5</f>
        <v>5.71428571428571</v>
      </c>
      <c r="W39" s="12">
        <f>' B2级比赛 '!W39*2.5</f>
        <v>5.45454545454545</v>
      </c>
      <c r="X39" s="12">
        <f>' B2级比赛 '!X39*2.5</f>
        <v>5.21739130434783</v>
      </c>
      <c r="Y39" s="12">
        <f>' B2级比赛 '!Y39*2.5</f>
        <v>5</v>
      </c>
      <c r="Z39" s="12">
        <f>' B2级比赛 '!Z39*2.5</f>
        <v>4.8</v>
      </c>
      <c r="AA39" s="12">
        <f>' B2级比赛 '!AA39*2.5</f>
        <v>4.61538461538462</v>
      </c>
      <c r="AB39" s="12">
        <f>' B2级比赛 '!AB39*2.5</f>
        <v>4.44444444444444</v>
      </c>
      <c r="AC39" s="12">
        <f>' B2级比赛 '!AC39*2.5</f>
        <v>4.28571428571429</v>
      </c>
      <c r="AD39" s="12">
        <f>' B2级比赛 '!AD39*2.5</f>
        <v>4.13793103448276</v>
      </c>
      <c r="AE39" s="12">
        <f>' B2级比赛 '!AE39*2.5</f>
        <v>4</v>
      </c>
      <c r="AF39" s="12">
        <f>' B2级比赛 '!AF39*2.5</f>
        <v>3.87096774193548</v>
      </c>
      <c r="AG39" s="12">
        <f>' B2级比赛 '!AG39*2.5</f>
        <v>3.75</v>
      </c>
      <c r="AH39" s="12">
        <f>' B2级比赛 '!AH39*2.5</f>
        <v>3.63636363636364</v>
      </c>
      <c r="AI39" s="12">
        <f>' B2级比赛 '!AI39*2.5</f>
        <v>3.52941176470588</v>
      </c>
      <c r="AJ39" s="12">
        <f>' B2级比赛 '!AJ39*2.5</f>
        <v>3.42857142857143</v>
      </c>
      <c r="AK39" s="12">
        <f>' B2级比赛 '!AK39*2.5</f>
        <v>3.33333333333333</v>
      </c>
      <c r="AL39" s="12">
        <f>' B2级比赛 '!AL39*2.5</f>
        <v>3.24324324324324</v>
      </c>
      <c r="AM39" s="12">
        <f>' B2级比赛 '!AM39*2.5</f>
        <v>3.15789473684211</v>
      </c>
      <c r="AN39" s="12">
        <f>' B2级比赛 '!AN39*2.5</f>
        <v>3.07692307692308</v>
      </c>
      <c r="AO39" s="12">
        <f>' B2级比赛 '!AO39*2.5</f>
        <v>3</v>
      </c>
      <c r="AP39" s="12">
        <f>' B2级比赛 '!AP39*2.5</f>
        <v>2.92682926829268</v>
      </c>
      <c r="AQ39" s="12">
        <f>' B2级比赛 '!AQ39*2.5</f>
        <v>2.85714285714286</v>
      </c>
      <c r="AR39" s="12">
        <f>' B2级比赛 '!AR39*2.5</f>
        <v>2.7906976744186</v>
      </c>
      <c r="AS39" s="21">
        <f>' B2级比赛 '!AS39*2.5</f>
        <v>577.999834472219</v>
      </c>
      <c r="AT39" s="20">
        <f>' B2级比赛 '!AT39*2.5</f>
        <v>4.01388773939041</v>
      </c>
      <c r="AU39" s="18">
        <f>' B2级比赛 '!AU39*2.5</f>
        <v>0</v>
      </c>
      <c r="AV39" s="18"/>
      <c r="AW39" s="18"/>
      <c r="AX39" s="18">
        <f>' B2级比赛 '!AX39*2.5</f>
        <v>0</v>
      </c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23"/>
      <c r="BO39" s="23"/>
      <c r="BP39" s="23"/>
      <c r="BQ39" s="23"/>
      <c r="BR39" s="23"/>
      <c r="BS39" s="23"/>
      <c r="BT39" s="23"/>
      <c r="BU39" s="2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</row>
    <row r="40" spans="1:109">
      <c r="A40" s="11" t="s">
        <v>102</v>
      </c>
      <c r="B40" s="12">
        <f>' B2级比赛 '!B40*2.5</f>
        <v>123.75</v>
      </c>
      <c r="C40" s="12">
        <f>' B2级比赛 '!C40*2.5</f>
        <v>86.625</v>
      </c>
      <c r="D40" s="15">
        <f>' B2级比赛 '!D40*2.5</f>
        <v>61.875</v>
      </c>
      <c r="E40" s="15">
        <f>' B2级比赛 '!E40*2.5</f>
        <v>43.3125</v>
      </c>
      <c r="F40" s="15">
        <f>' B2级比赛 '!F40*2.5</f>
        <v>24.75</v>
      </c>
      <c r="G40" s="15">
        <f>' B2级比赛 '!G40*2.5</f>
        <v>20.625</v>
      </c>
      <c r="H40" s="15">
        <f>' B2级比赛 '!H40*2.5</f>
        <v>17.6785714285714</v>
      </c>
      <c r="I40" s="15">
        <f>' B2级比赛 '!I40*2.5</f>
        <v>15.46875</v>
      </c>
      <c r="J40" s="15">
        <f>' B2级比赛 '!J40*2.5</f>
        <v>13.75</v>
      </c>
      <c r="K40" s="15">
        <f>' B2级比赛 '!K40*2.5</f>
        <v>12.375</v>
      </c>
      <c r="L40" s="15">
        <f>' B2级比赛 '!L40*2.5</f>
        <v>11.25</v>
      </c>
      <c r="M40" s="15">
        <f>' B2级比赛 '!M40*2.5</f>
        <v>10.3125</v>
      </c>
      <c r="N40" s="15">
        <f>' B2级比赛 '!N40*2.5</f>
        <v>9.51923076923077</v>
      </c>
      <c r="O40" s="15">
        <f>' B2级比赛 '!O40*2.5</f>
        <v>8.83928571428571</v>
      </c>
      <c r="P40" s="12">
        <f>' B2级比赛 '!P40*2.5</f>
        <v>8.25</v>
      </c>
      <c r="Q40" s="12">
        <f>' B2级比赛 '!Q40*2.5</f>
        <v>7.734375</v>
      </c>
      <c r="R40" s="12">
        <f>' B2级比赛 '!R40*2.5</f>
        <v>7.27941176470588</v>
      </c>
      <c r="S40" s="12">
        <f>' B2级比赛 '!S40*2.5</f>
        <v>6.875</v>
      </c>
      <c r="T40" s="12">
        <f>' B2级比赛 '!T40*2.5</f>
        <v>6.51315789473684</v>
      </c>
      <c r="U40" s="12">
        <f>' B2级比赛 '!U40*2.5</f>
        <v>6.1875</v>
      </c>
      <c r="V40" s="12">
        <f>' B2级比赛 '!V40*2.5</f>
        <v>5.89285714285714</v>
      </c>
      <c r="W40" s="12">
        <f>' B2级比赛 '!W40*2.5</f>
        <v>5.625</v>
      </c>
      <c r="X40" s="12">
        <f>' B2级比赛 '!X40*2.5</f>
        <v>5.3804347826087</v>
      </c>
      <c r="Y40" s="12">
        <f>' B2级比赛 '!Y40*2.5</f>
        <v>5.15625</v>
      </c>
      <c r="Z40" s="12">
        <f>' B2级比赛 '!Z40*2.5</f>
        <v>4.95</v>
      </c>
      <c r="AA40" s="12">
        <f>' B2级比赛 '!AA40*2.5</f>
        <v>4.75961538461538</v>
      </c>
      <c r="AB40" s="12">
        <f>' B2级比赛 '!AB40*2.5</f>
        <v>4.58333333333333</v>
      </c>
      <c r="AC40" s="12">
        <f>' B2级比赛 '!AC40*2.5</f>
        <v>4.41964285714286</v>
      </c>
      <c r="AD40" s="12">
        <f>' B2级比赛 '!AD40*2.5</f>
        <v>4.26724137931035</v>
      </c>
      <c r="AE40" s="12">
        <f>' B2级比赛 '!AE40*2.5</f>
        <v>4.125</v>
      </c>
      <c r="AF40" s="12">
        <f>' B2级比赛 '!AF40*2.5</f>
        <v>3.99193548387097</v>
      </c>
      <c r="AG40" s="12">
        <f>' B2级比赛 '!AG40*2.5</f>
        <v>3.8671875</v>
      </c>
      <c r="AH40" s="12">
        <f>' B2级比赛 '!AH40*2.5</f>
        <v>3.75</v>
      </c>
      <c r="AI40" s="12">
        <f>' B2级比赛 '!AI40*2.5</f>
        <v>3.63970588235294</v>
      </c>
      <c r="AJ40" s="12">
        <f>' B2级比赛 '!AJ40*2.5</f>
        <v>3.53571428571429</v>
      </c>
      <c r="AK40" s="12">
        <f>' B2级比赛 '!AK40*2.5</f>
        <v>3.4375</v>
      </c>
      <c r="AL40" s="12">
        <f>' B2级比赛 '!AL40*2.5</f>
        <v>3.34459459459459</v>
      </c>
      <c r="AM40" s="12">
        <f>' B2级比赛 '!AM40*2.5</f>
        <v>3.25657894736842</v>
      </c>
      <c r="AN40" s="12">
        <f>' B2级比赛 '!AN40*2.5</f>
        <v>3.17307692307692</v>
      </c>
      <c r="AO40" s="12">
        <f>' B2级比赛 '!AO40*2.5</f>
        <v>3.09375</v>
      </c>
      <c r="AP40" s="12">
        <f>' B2级比赛 '!AP40*2.5</f>
        <v>3.01829268292683</v>
      </c>
      <c r="AQ40" s="12">
        <f>' B2级比赛 '!AQ40*2.5</f>
        <v>2.94642857142857</v>
      </c>
      <c r="AR40" s="12">
        <f>' B2级比赛 '!AR40*2.5</f>
        <v>2.87790697674419</v>
      </c>
      <c r="AS40" s="12">
        <f>' B2级比赛 '!AS40*2.5</f>
        <v>2.8125</v>
      </c>
      <c r="AT40" s="21">
        <f>' B2级比赛 '!AT40*2.5</f>
        <v>598.874829299476</v>
      </c>
      <c r="AU40" s="20">
        <f>' B2级比赛 '!AU40*2.5</f>
        <v>4.01929415637232</v>
      </c>
      <c r="AV40" s="18"/>
      <c r="AW40" s="18"/>
      <c r="AX40" s="18">
        <f>' B2级比赛 '!AX40*2.5</f>
        <v>0</v>
      </c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23"/>
      <c r="BO40" s="23"/>
      <c r="BP40" s="23"/>
      <c r="BQ40" s="23"/>
      <c r="BR40" s="23"/>
      <c r="BS40" s="23"/>
      <c r="BT40" s="23"/>
      <c r="BU40" s="2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</row>
    <row r="41" spans="1:109">
      <c r="A41" s="11" t="s">
        <v>103</v>
      </c>
      <c r="B41" s="12">
        <f>' B2级比赛 '!B41*2.5</f>
        <v>127</v>
      </c>
      <c r="C41" s="12">
        <f>' B2级比赛 '!C41*2.5</f>
        <v>88.9</v>
      </c>
      <c r="D41" s="15">
        <f>' B2级比赛 '!D41*2.5</f>
        <v>63.5</v>
      </c>
      <c r="E41" s="15">
        <f>' B2级比赛 '!E41*2.5</f>
        <v>44.45</v>
      </c>
      <c r="F41" s="15">
        <f>' B2级比赛 '!F41*2.5</f>
        <v>25.4</v>
      </c>
      <c r="G41" s="15">
        <f>' B2级比赛 '!G41*2.5</f>
        <v>21.1666666666667</v>
      </c>
      <c r="H41" s="15">
        <f>' B2级比赛 '!H41*2.5</f>
        <v>18.1428571428571</v>
      </c>
      <c r="I41" s="15">
        <f>' B2级比赛 '!I41*2.5</f>
        <v>15.875</v>
      </c>
      <c r="J41" s="15">
        <f>' B2级比赛 '!J41*2.5</f>
        <v>14.1111111111111</v>
      </c>
      <c r="K41" s="15">
        <f>' B2级比赛 '!K41*2.5</f>
        <v>12.7</v>
      </c>
      <c r="L41" s="15">
        <f>' B2级比赛 '!L41*2.5</f>
        <v>11.5454545454545</v>
      </c>
      <c r="M41" s="15">
        <f>' B2级比赛 '!M41*2.5</f>
        <v>10.5833333333333</v>
      </c>
      <c r="N41" s="15">
        <f>' B2级比赛 '!N41*2.5</f>
        <v>9.76923076923077</v>
      </c>
      <c r="O41" s="15">
        <f>' B2级比赛 '!O41*2.5</f>
        <v>9.07142857142857</v>
      </c>
      <c r="P41" s="12">
        <f>' B2级比赛 '!P41*2.5</f>
        <v>8.46666666666666</v>
      </c>
      <c r="Q41" s="12">
        <f>' B2级比赛 '!Q41*2.5</f>
        <v>7.9375</v>
      </c>
      <c r="R41" s="12">
        <f>' B2级比赛 '!R41*2.5</f>
        <v>7.47058823529412</v>
      </c>
      <c r="S41" s="12">
        <f>' B2级比赛 '!S41*2.5</f>
        <v>7.05555555555556</v>
      </c>
      <c r="T41" s="12">
        <f>' B2级比赛 '!T41*2.5</f>
        <v>6.68421052631579</v>
      </c>
      <c r="U41" s="12">
        <f>' B2级比赛 '!U41*2.5</f>
        <v>6.35</v>
      </c>
      <c r="V41" s="12">
        <f>' B2级比赛 '!V41*2.5</f>
        <v>6.04761904761905</v>
      </c>
      <c r="W41" s="12">
        <f>' B2级比赛 '!W41*2.5</f>
        <v>5.77272727272727</v>
      </c>
      <c r="X41" s="12">
        <f>' B2级比赛 '!X41*2.5</f>
        <v>5.52173913043478</v>
      </c>
      <c r="Y41" s="12">
        <f>' B2级比赛 '!Y41*2.5</f>
        <v>5.29166666666667</v>
      </c>
      <c r="Z41" s="12">
        <f>' B2级比赛 '!Z41*2.5</f>
        <v>5.08</v>
      </c>
      <c r="AA41" s="12">
        <f>' B2级比赛 '!AA41*2.5</f>
        <v>4.88461538461538</v>
      </c>
      <c r="AB41" s="12">
        <f>' B2级比赛 '!AB41*2.5</f>
        <v>4.7037037037037</v>
      </c>
      <c r="AC41" s="12">
        <f>' B2级比赛 '!AC41*2.5</f>
        <v>4.53571428571429</v>
      </c>
      <c r="AD41" s="12">
        <f>' B2级比赛 '!AD41*2.5</f>
        <v>4.37931034482759</v>
      </c>
      <c r="AE41" s="12">
        <f>' B2级比赛 '!AE41*2.5</f>
        <v>4.23333333333333</v>
      </c>
      <c r="AF41" s="12">
        <f>' B2级比赛 '!AF41*2.5</f>
        <v>4.09677419354839</v>
      </c>
      <c r="AG41" s="12">
        <f>' B2级比赛 '!AG41*2.5</f>
        <v>3.96875</v>
      </c>
      <c r="AH41" s="12">
        <f>' B2级比赛 '!AH41*2.5</f>
        <v>3.84848484848485</v>
      </c>
      <c r="AI41" s="12">
        <f>' B2级比赛 '!AI41*2.5</f>
        <v>3.73529411764706</v>
      </c>
      <c r="AJ41" s="12">
        <f>' B2级比赛 '!AJ41*2.5</f>
        <v>3.62857142857143</v>
      </c>
      <c r="AK41" s="12">
        <f>' B2级比赛 '!AK41*2.5</f>
        <v>3.52777777777778</v>
      </c>
      <c r="AL41" s="12">
        <f>' B2级比赛 '!AL41*2.5</f>
        <v>3.43243243243243</v>
      </c>
      <c r="AM41" s="12">
        <f>' B2级比赛 '!AM41*2.5</f>
        <v>3.34210526315789</v>
      </c>
      <c r="AN41" s="12">
        <f>' B2级比赛 '!AN41*2.5</f>
        <v>3.25641025641026</v>
      </c>
      <c r="AO41" s="12">
        <f>' B2级比赛 '!AO41*2.5</f>
        <v>3.175</v>
      </c>
      <c r="AP41" s="12">
        <f>' B2级比赛 '!AP41*2.5</f>
        <v>3.09756097560976</v>
      </c>
      <c r="AQ41" s="12">
        <f>' B2级比赛 '!AQ41*2.5</f>
        <v>3.02380952380952</v>
      </c>
      <c r="AR41" s="12">
        <f>' B2级比赛 '!AR41*2.5</f>
        <v>2.95348837209302</v>
      </c>
      <c r="AS41" s="12">
        <f>' B2级比赛 '!AS41*2.5</f>
        <v>2.88636363636364</v>
      </c>
      <c r="AT41" s="12">
        <f>' B2级比赛 '!AT41*2.5</f>
        <v>2.82222222222222</v>
      </c>
      <c r="AU41" s="21">
        <f>' B2级比赛 '!AU41*2.5</f>
        <v>617.425077341685</v>
      </c>
      <c r="AV41" s="20">
        <f>' B2级比赛 '!AV41*2.5</f>
        <v>4.00925374897198</v>
      </c>
      <c r="AW41" s="18"/>
      <c r="AX41" s="18">
        <f>' B2级比赛 '!AX41*2.5</f>
        <v>0</v>
      </c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23"/>
      <c r="BO41" s="23"/>
      <c r="BP41" s="23"/>
      <c r="BQ41" s="23"/>
      <c r="BR41" s="23"/>
      <c r="BS41" s="23"/>
      <c r="BT41" s="23"/>
      <c r="BU41" s="2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</row>
    <row r="42" spans="1:109">
      <c r="A42" s="11" t="s">
        <v>104</v>
      </c>
      <c r="B42" s="12">
        <f>' B2级比赛 '!B42*2.5</f>
        <v>130</v>
      </c>
      <c r="C42" s="12">
        <f>' B2级比赛 '!C42*2.5</f>
        <v>91</v>
      </c>
      <c r="D42" s="15">
        <f>' B2级比赛 '!D42*2.5</f>
        <v>65</v>
      </c>
      <c r="E42" s="15">
        <f>' B2级比赛 '!E42*2.5</f>
        <v>45.5</v>
      </c>
      <c r="F42" s="15">
        <f>' B2级比赛 '!F42*2.5</f>
        <v>26</v>
      </c>
      <c r="G42" s="15">
        <f>' B2级比赛 '!G42*2.5</f>
        <v>21.6666666666667</v>
      </c>
      <c r="H42" s="15">
        <f>' B2级比赛 '!H42*2.5</f>
        <v>18.5714285714286</v>
      </c>
      <c r="I42" s="15">
        <f>' B2级比赛 '!I42*2.5</f>
        <v>16.25</v>
      </c>
      <c r="J42" s="15">
        <f>' B2级比赛 '!J42*2.5</f>
        <v>14.4444444444444</v>
      </c>
      <c r="K42" s="15">
        <f>' B2级比赛 '!K42*2.5</f>
        <v>13</v>
      </c>
      <c r="L42" s="15">
        <f>' B2级比赛 '!L42*2.5</f>
        <v>11.8181818181818</v>
      </c>
      <c r="M42" s="15">
        <f>' B2级比赛 '!M42*2.5</f>
        <v>10.8333333333333</v>
      </c>
      <c r="N42" s="15">
        <f>' B2级比赛 '!N42*2.5</f>
        <v>10</v>
      </c>
      <c r="O42" s="15">
        <f>' B2级比赛 '!O42*2.5</f>
        <v>9.28571428571429</v>
      </c>
      <c r="P42" s="12">
        <f>' B2级比赛 '!P42*2.5</f>
        <v>8.66666666666667</v>
      </c>
      <c r="Q42" s="12">
        <f>' B2级比赛 '!Q42*2.5</f>
        <v>8.125</v>
      </c>
      <c r="R42" s="12">
        <f>' B2级比赛 '!R42*2.5</f>
        <v>7.64705882352941</v>
      </c>
      <c r="S42" s="12">
        <f>' B2级比赛 '!S42*2.5</f>
        <v>7.22222222222222</v>
      </c>
      <c r="T42" s="12">
        <f>' B2级比赛 '!T42*2.5</f>
        <v>6.84210526315789</v>
      </c>
      <c r="U42" s="12">
        <f>' B2级比赛 '!U42*2.5</f>
        <v>6.5</v>
      </c>
      <c r="V42" s="12">
        <f>' B2级比赛 '!V42*2.5</f>
        <v>6.19047619047619</v>
      </c>
      <c r="W42" s="12">
        <f>' B2级比赛 '!W42*2.5</f>
        <v>5.90909090909091</v>
      </c>
      <c r="X42" s="12">
        <f>' B2级比赛 '!X42*2.5</f>
        <v>5.65217391304348</v>
      </c>
      <c r="Y42" s="12">
        <f>' B2级比赛 '!Y42*2.5</f>
        <v>5.41666666666667</v>
      </c>
      <c r="Z42" s="12">
        <f>' B2级比赛 '!Z42*2.5</f>
        <v>5.2</v>
      </c>
      <c r="AA42" s="12">
        <f>' B2级比赛 '!AA42*2.5</f>
        <v>5</v>
      </c>
      <c r="AB42" s="12">
        <f>' B2级比赛 '!AB42*2.5</f>
        <v>4.81481481481481</v>
      </c>
      <c r="AC42" s="12">
        <f>' B2级比赛 '!AC42*2.5</f>
        <v>4.64285714285714</v>
      </c>
      <c r="AD42" s="12">
        <f>' B2级比赛 '!AD42*2.5</f>
        <v>4.48275862068965</v>
      </c>
      <c r="AE42" s="12">
        <f>' B2级比赛 '!AE42*2.5</f>
        <v>4.33333333333333</v>
      </c>
      <c r="AF42" s="12">
        <f>' B2级比赛 '!AF42*2.5</f>
        <v>4.19354838709677</v>
      </c>
      <c r="AG42" s="12">
        <f>' B2级比赛 '!AG42*2.5</f>
        <v>4.0625</v>
      </c>
      <c r="AH42" s="12">
        <f>' B2级比赛 '!AH42*2.5</f>
        <v>3.93939393939394</v>
      </c>
      <c r="AI42" s="12">
        <f>' B2级比赛 '!AI42*2.5</f>
        <v>3.82352941176471</v>
      </c>
      <c r="AJ42" s="12">
        <f>' B2级比赛 '!AJ42*2.5</f>
        <v>3.71428571428571</v>
      </c>
      <c r="AK42" s="12">
        <f>' B2级比赛 '!AK42*2.5</f>
        <v>3.61111111111111</v>
      </c>
      <c r="AL42" s="12">
        <f>' B2级比赛 '!AL42*2.5</f>
        <v>3.51351351351351</v>
      </c>
      <c r="AM42" s="12">
        <f>' B2级比赛 '!AM42*2.5</f>
        <v>3.42105263157895</v>
      </c>
      <c r="AN42" s="12">
        <f>' B2级比赛 '!AN42*2.5</f>
        <v>3.33333333333333</v>
      </c>
      <c r="AO42" s="12">
        <f>' B2级比赛 '!AO42*2.5</f>
        <v>3.25</v>
      </c>
      <c r="AP42" s="12">
        <f>' B2级比赛 '!AP42*2.5</f>
        <v>3.17073170731707</v>
      </c>
      <c r="AQ42" s="12">
        <f>' B2级比赛 '!AQ42*2.5</f>
        <v>3.0952380952381</v>
      </c>
      <c r="AR42" s="12">
        <f>' B2级比赛 '!AR42*2.5</f>
        <v>3.02325581395349</v>
      </c>
      <c r="AS42" s="12">
        <f>' B2级比赛 '!AS42*2.5</f>
        <v>2.95454545454545</v>
      </c>
      <c r="AT42" s="12">
        <f>' B2级比赛 '!AT42*2.5</f>
        <v>2.88888888888889</v>
      </c>
      <c r="AU42" s="12">
        <f>' B2级比赛 '!AU42*2.5</f>
        <v>2.82608695652174</v>
      </c>
      <c r="AV42" s="12">
        <f>' B2级比赛 '!AV42*2.5</f>
        <v>2.76595744680851</v>
      </c>
      <c r="AW42" s="21">
        <f>' B2级比赛 '!AW42*2.5</f>
        <v>637.601966091669</v>
      </c>
      <c r="AX42" s="20">
        <f>' B2级比赛 '!AX42*2.5</f>
        <v>4.01007525843817</v>
      </c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23"/>
      <c r="BO42" s="23"/>
      <c r="BP42" s="23"/>
      <c r="BQ42" s="23"/>
      <c r="BR42" s="23"/>
      <c r="BS42" s="23"/>
      <c r="BT42" s="23"/>
      <c r="BU42" s="2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</row>
    <row r="43" spans="1:109">
      <c r="A43" s="11" t="s">
        <v>105</v>
      </c>
      <c r="B43" s="12">
        <f>' B2级比赛 '!B43*2.5</f>
        <v>133</v>
      </c>
      <c r="C43" s="12">
        <f>' B2级比赛 '!C43*2.5</f>
        <v>93.1</v>
      </c>
      <c r="D43" s="15">
        <f>' B2级比赛 '!D43*2.5</f>
        <v>66.5</v>
      </c>
      <c r="E43" s="15">
        <f>' B2级比赛 '!E43*2.5</f>
        <v>46.55</v>
      </c>
      <c r="F43" s="15">
        <f>' B2级比赛 '!F43*2.5</f>
        <v>26.6</v>
      </c>
      <c r="G43" s="15">
        <f>' B2级比赛 '!G43*2.5</f>
        <v>22.1666666666667</v>
      </c>
      <c r="H43" s="15">
        <f>' B2级比赛 '!H43*2.5</f>
        <v>19</v>
      </c>
      <c r="I43" s="15">
        <f>' B2级比赛 '!I43*2.5</f>
        <v>16.625</v>
      </c>
      <c r="J43" s="15">
        <f>' B2级比赛 '!J43*2.5</f>
        <v>14.7777777777778</v>
      </c>
      <c r="K43" s="15">
        <f>' B2级比赛 '!K43*2.5</f>
        <v>13.3</v>
      </c>
      <c r="L43" s="15">
        <f>' B2级比赛 '!L43*2.5</f>
        <v>12.0909090909091</v>
      </c>
      <c r="M43" s="15">
        <f>' B2级比赛 '!M43*2.5</f>
        <v>11.0833333333333</v>
      </c>
      <c r="N43" s="15">
        <f>' B2级比赛 '!N43*2.5</f>
        <v>10.2307692307692</v>
      </c>
      <c r="O43" s="15">
        <f>' B2级比赛 '!O43*2.5</f>
        <v>9.5</v>
      </c>
      <c r="P43" s="12">
        <f>' B2级比赛 '!P43*2.5</f>
        <v>8.86666666666667</v>
      </c>
      <c r="Q43" s="12">
        <f>' B2级比赛 '!Q43*2.5</f>
        <v>8.3125</v>
      </c>
      <c r="R43" s="12">
        <f>' B2级比赛 '!R43*2.5</f>
        <v>7.82352941176471</v>
      </c>
      <c r="S43" s="12">
        <f>' B2级比赛 '!S43*2.5</f>
        <v>7.38888888888889</v>
      </c>
      <c r="T43" s="12">
        <f>' B2级比赛 '!T43*2.5</f>
        <v>7</v>
      </c>
      <c r="U43" s="12">
        <f>' B2级比赛 '!U43*2.5</f>
        <v>6.65</v>
      </c>
      <c r="V43" s="12">
        <f>' B2级比赛 '!V43*2.5</f>
        <v>6.33333333333333</v>
      </c>
      <c r="W43" s="12">
        <f>' B2级比赛 '!W43*2.5</f>
        <v>6.04545454545455</v>
      </c>
      <c r="X43" s="12">
        <f>' B2级比赛 '!X43*2.5</f>
        <v>5.78260869565217</v>
      </c>
      <c r="Y43" s="12">
        <f>' B2级比赛 '!Y43*2.5</f>
        <v>5.54166666666667</v>
      </c>
      <c r="Z43" s="12">
        <f>' B2级比赛 '!Z43*2.5</f>
        <v>5.32</v>
      </c>
      <c r="AA43" s="12">
        <f>' B2级比赛 '!AA43*2.5</f>
        <v>5.11538461538462</v>
      </c>
      <c r="AB43" s="12">
        <f>' B2级比赛 '!AB43*2.5</f>
        <v>4.92592592592593</v>
      </c>
      <c r="AC43" s="12">
        <f>' B2级比赛 '!AC43*2.5</f>
        <v>4.75</v>
      </c>
      <c r="AD43" s="12">
        <f>' B2级比赛 '!AD43*2.5</f>
        <v>4.58620689655172</v>
      </c>
      <c r="AE43" s="12">
        <f>' B2级比赛 '!AE43*2.5</f>
        <v>4.43333333333333</v>
      </c>
      <c r="AF43" s="12">
        <f>' B2级比赛 '!AF43*2.5</f>
        <v>4.29032258064516</v>
      </c>
      <c r="AG43" s="12">
        <f>' B2级比赛 '!AG43*2.5</f>
        <v>4.15625</v>
      </c>
      <c r="AH43" s="12">
        <f>' B2级比赛 '!AH43*2.5</f>
        <v>4.03030303030303</v>
      </c>
      <c r="AI43" s="12">
        <f>' B2级比赛 '!AI43*2.5</f>
        <v>3.91176470588235</v>
      </c>
      <c r="AJ43" s="12">
        <f>' B2级比赛 '!AJ43*2.5</f>
        <v>3.8</v>
      </c>
      <c r="AK43" s="12">
        <f>' B2级比赛 '!AK43*2.5</f>
        <v>3.69444444444444</v>
      </c>
      <c r="AL43" s="12">
        <f>' B2级比赛 '!AL43*2.5</f>
        <v>3.59459459459459</v>
      </c>
      <c r="AM43" s="12">
        <f>' B2级比赛 '!AM43*2.5</f>
        <v>3.5</v>
      </c>
      <c r="AN43" s="12">
        <f>' B2级比赛 '!AN43*2.5</f>
        <v>3.41025641025641</v>
      </c>
      <c r="AO43" s="12">
        <f>' B2级比赛 '!AO43*2.5</f>
        <v>3.325</v>
      </c>
      <c r="AP43" s="12">
        <f>' B2级比赛 '!AP43*2.5</f>
        <v>3.24390243902439</v>
      </c>
      <c r="AQ43" s="12">
        <f>' B2级比赛 '!AQ43*2.5</f>
        <v>3.16666666666667</v>
      </c>
      <c r="AR43" s="12">
        <f>' B2级比赛 '!AR43*2.5</f>
        <v>3.09302325581395</v>
      </c>
      <c r="AS43" s="12">
        <f>' B2级比赛 '!AS43*2.5</f>
        <v>3.02272727272727</v>
      </c>
      <c r="AT43" s="12">
        <f>' B2级比赛 '!AT43*2.5</f>
        <v>2.95555555555556</v>
      </c>
      <c r="AU43" s="12">
        <f>' B2级比赛 '!AU43*2.5</f>
        <v>2.89130434782609</v>
      </c>
      <c r="AV43" s="12">
        <f>' B2级比赛 '!AV43*2.5</f>
        <v>2.82978723404255</v>
      </c>
      <c r="AW43" s="12">
        <f>' B2级比赛 '!AW43*2.5</f>
        <v>2.77083333333333</v>
      </c>
      <c r="AX43" s="12">
        <f>' B2级比赛 '!AX43*2.5</f>
        <v>2.71428571428571</v>
      </c>
      <c r="AY43" s="21">
        <f>' B2级比赛 '!AY43*2.5</f>
        <v>657.80097666448</v>
      </c>
      <c r="AZ43" s="20">
        <f>' B2级比赛 '!AZ43*2.5</f>
        <v>4.01098156502732</v>
      </c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23"/>
      <c r="BO43" s="23"/>
      <c r="BP43" s="23"/>
      <c r="BQ43" s="23"/>
      <c r="BR43" s="23"/>
      <c r="BS43" s="23"/>
      <c r="BT43" s="23"/>
      <c r="BU43" s="2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</row>
    <row r="44" spans="1:109">
      <c r="A44" s="11" t="s">
        <v>106</v>
      </c>
      <c r="B44" s="12">
        <f>' B2级比赛 '!B44*2.5</f>
        <v>136.25</v>
      </c>
      <c r="C44" s="12">
        <f>' B2级比赛 '!C44*2.5</f>
        <v>95.375</v>
      </c>
      <c r="D44" s="15">
        <f>' B2级比赛 '!D44*2.5</f>
        <v>68.125</v>
      </c>
      <c r="E44" s="15">
        <f>' B2级比赛 '!E44*2.5</f>
        <v>47.6875</v>
      </c>
      <c r="F44" s="15">
        <f>' B2级比赛 '!F44*2.5</f>
        <v>27.25</v>
      </c>
      <c r="G44" s="15">
        <f>' B2级比赛 '!G44*2.5</f>
        <v>22.7083333333333</v>
      </c>
      <c r="H44" s="15">
        <f>' B2级比赛 '!H44*2.5</f>
        <v>19.4642857142857</v>
      </c>
      <c r="I44" s="15">
        <f>' B2级比赛 '!I44*2.5</f>
        <v>17.03125</v>
      </c>
      <c r="J44" s="15">
        <f>' B2级比赛 '!J44*2.5</f>
        <v>15.1388888888889</v>
      </c>
      <c r="K44" s="15">
        <f>' B2级比赛 '!K44*2.5</f>
        <v>13.625</v>
      </c>
      <c r="L44" s="15">
        <f>' B2级比赛 '!L44*2.5</f>
        <v>12.3863636363636</v>
      </c>
      <c r="M44" s="15">
        <f>' B2级比赛 '!M44*2.5</f>
        <v>11.3541666666667</v>
      </c>
      <c r="N44" s="15">
        <f>' B2级比赛 '!N44*2.5</f>
        <v>10.4807692307692</v>
      </c>
      <c r="O44" s="15">
        <f>' B2级比赛 '!O44*2.5</f>
        <v>9.73214285714286</v>
      </c>
      <c r="P44" s="12">
        <f>' B2级比赛 '!P44*2.5</f>
        <v>9.08333333333333</v>
      </c>
      <c r="Q44" s="12">
        <f>' B2级比赛 '!Q44*2.5</f>
        <v>8.515625</v>
      </c>
      <c r="R44" s="12">
        <f>' B2级比赛 '!R44*2.5</f>
        <v>8.01470588235294</v>
      </c>
      <c r="S44" s="12">
        <f>' B2级比赛 '!S44*2.5</f>
        <v>7.56944444444444</v>
      </c>
      <c r="T44" s="12">
        <f>' B2级比赛 '!T44*2.5</f>
        <v>7.17105263157895</v>
      </c>
      <c r="U44" s="12">
        <f>' B2级比赛 '!U44*2.5</f>
        <v>6.8125</v>
      </c>
      <c r="V44" s="12">
        <f>' B2级比赛 '!V44*2.5</f>
        <v>6.48809523809524</v>
      </c>
      <c r="W44" s="12">
        <f>' B2级比赛 '!W44*2.5</f>
        <v>6.19318181818182</v>
      </c>
      <c r="X44" s="12">
        <f>' B2级比赛 '!X44*2.5</f>
        <v>5.92391304347826</v>
      </c>
      <c r="Y44" s="12">
        <f>' B2级比赛 '!Y44*2.5</f>
        <v>5.67708333333333</v>
      </c>
      <c r="Z44" s="12">
        <f>' B2级比赛 '!Z44*2.5</f>
        <v>5.45</v>
      </c>
      <c r="AA44" s="12">
        <f>' B2级比赛 '!AA44*2.5</f>
        <v>5.24038461538462</v>
      </c>
      <c r="AB44" s="12">
        <f>' B2级比赛 '!AB44*2.5</f>
        <v>5.0462962962963</v>
      </c>
      <c r="AC44" s="12">
        <f>' B2级比赛 '!AC44*2.5</f>
        <v>4.86607142857143</v>
      </c>
      <c r="AD44" s="12">
        <f>' B2级比赛 '!AD44*2.5</f>
        <v>4.69827586206897</v>
      </c>
      <c r="AE44" s="12">
        <f>' B2级比赛 '!AE44*2.5</f>
        <v>4.54166666666667</v>
      </c>
      <c r="AF44" s="12">
        <f>' B2级比赛 '!AF44*2.5</f>
        <v>4.39516129032258</v>
      </c>
      <c r="AG44" s="12">
        <f>' B2级比赛 '!AG44*2.5</f>
        <v>4.2578125</v>
      </c>
      <c r="AH44" s="12">
        <f>' B2级比赛 '!AH44*2.5</f>
        <v>4.12878787878788</v>
      </c>
      <c r="AI44" s="12">
        <f>' B2级比赛 '!AI44*2.5</f>
        <v>4.00735294117647</v>
      </c>
      <c r="AJ44" s="12">
        <f>' B2级比赛 '!AJ44*2.5</f>
        <v>3.89285714285714</v>
      </c>
      <c r="AK44" s="12">
        <f>' B2级比赛 '!AK44*2.5</f>
        <v>3.78472222222222</v>
      </c>
      <c r="AL44" s="12">
        <f>' B2级比赛 '!AL44*2.5</f>
        <v>3.68243243243243</v>
      </c>
      <c r="AM44" s="12">
        <f>' B2级比赛 '!AM44*2.5</f>
        <v>3.58552631578947</v>
      </c>
      <c r="AN44" s="12">
        <f>' B2级比赛 '!AN44*2.5</f>
        <v>3.49358974358974</v>
      </c>
      <c r="AO44" s="12">
        <f>' B2级比赛 '!AO44*2.5</f>
        <v>3.40625</v>
      </c>
      <c r="AP44" s="12">
        <f>' B2级比赛 '!AP44*2.5</f>
        <v>3.32317073170732</v>
      </c>
      <c r="AQ44" s="12">
        <f>' B2级比赛 '!AQ44*2.5</f>
        <v>3.24404761904762</v>
      </c>
      <c r="AR44" s="12">
        <f>' B2级比赛 '!AR44*2.5</f>
        <v>3.16860465116279</v>
      </c>
      <c r="AS44" s="12">
        <f>' B2级比赛 '!AS44*2.5</f>
        <v>3.09659090909091</v>
      </c>
      <c r="AT44" s="12">
        <f>' B2级比赛 '!AT44*2.5</f>
        <v>3.02777777777778</v>
      </c>
      <c r="AU44" s="12">
        <f>' B2级比赛 '!AU44*2.5</f>
        <v>2.96195652173913</v>
      </c>
      <c r="AV44" s="12">
        <f>' B2级比赛 '!AV44*2.5</f>
        <v>2.89893617021277</v>
      </c>
      <c r="AW44" s="12">
        <f>' B2级比赛 '!AW44*2.5</f>
        <v>2.83854166666667</v>
      </c>
      <c r="AX44" s="12">
        <f>' B2级比赛 '!AX44*2.5</f>
        <v>2.78061224489796</v>
      </c>
      <c r="AY44" s="12">
        <f>' B2级比赛 '!AY44*2.5</f>
        <v>2.725</v>
      </c>
      <c r="AZ44" s="21">
        <f>' B2级比赛 '!AZ44*2.5</f>
        <v>676.600060680717</v>
      </c>
      <c r="BA44" s="20">
        <f>' B2级比赛 '!BA44*2.5</f>
        <v>4.00355065491549</v>
      </c>
      <c r="BB44" s="18"/>
      <c r="BC44" s="18"/>
      <c r="BD44" s="18"/>
      <c r="BE44" s="18">
        <f>' B2级比赛 '!BE44*2.5</f>
        <v>0</v>
      </c>
      <c r="BF44" s="18">
        <f>' B2级比赛 '!BF44*2.5</f>
        <v>0</v>
      </c>
      <c r="BG44" s="18"/>
      <c r="BH44" s="18"/>
      <c r="BI44" s="18"/>
      <c r="BJ44" s="18"/>
      <c r="BK44" s="18"/>
      <c r="BL44" s="18"/>
      <c r="BM44" s="18"/>
      <c r="BN44" s="23"/>
      <c r="BO44" s="23"/>
      <c r="BP44" s="23"/>
      <c r="BQ44" s="23"/>
      <c r="BR44" s="23"/>
      <c r="BS44" s="23"/>
      <c r="BT44" s="23"/>
      <c r="BU44" s="2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</row>
    <row r="45" spans="1:109">
      <c r="A45" s="11" t="s">
        <v>107</v>
      </c>
      <c r="B45" s="12">
        <f>' B2级比赛 '!B45*2.5</f>
        <v>185</v>
      </c>
      <c r="C45" s="12">
        <f>' B2级比赛 '!C45*2.5</f>
        <v>129.5</v>
      </c>
      <c r="D45" s="15">
        <f>' B2级比赛 '!D45*2.5</f>
        <v>92.5</v>
      </c>
      <c r="E45" s="15">
        <f>' B2级比赛 '!E45*2.5</f>
        <v>64.75</v>
      </c>
      <c r="F45" s="15">
        <f>' B2级比赛 '!F45*2.5</f>
        <v>37</v>
      </c>
      <c r="G45" s="15">
        <f>' B2级比赛 '!G45*2.5</f>
        <v>30.8333333333333</v>
      </c>
      <c r="H45" s="15">
        <f>' B2级比赛 '!H45*2.5</f>
        <v>26.4285714285714</v>
      </c>
      <c r="I45" s="15">
        <f>' B2级比赛 '!I45*2.5</f>
        <v>23.125</v>
      </c>
      <c r="J45" s="15">
        <f>' B2级比赛 '!J45*2.5</f>
        <v>20.5555555555556</v>
      </c>
      <c r="K45" s="15">
        <f>' B2级比赛 '!K45*2.5</f>
        <v>18.5</v>
      </c>
      <c r="L45" s="15">
        <f>' B2级比赛 '!L45*2.5</f>
        <v>16.8181818181818</v>
      </c>
      <c r="M45" s="15">
        <f>' B2级比赛 '!M45*2.5</f>
        <v>15.4166666666667</v>
      </c>
      <c r="N45" s="15">
        <f>' B2级比赛 '!N45*2.5</f>
        <v>14.2307692307692</v>
      </c>
      <c r="O45" s="15">
        <f>' B2级比赛 '!O45*2.5</f>
        <v>13.2142857142857</v>
      </c>
      <c r="P45" s="12">
        <f>' B2级比赛 '!P45*2.5</f>
        <v>12.3333333333333</v>
      </c>
      <c r="Q45" s="12">
        <f>' B2级比赛 '!Q45*2.5</f>
        <v>11.5625</v>
      </c>
      <c r="R45" s="12">
        <f>' B2级比赛 '!R45*2.5</f>
        <v>10.8823529411765</v>
      </c>
      <c r="S45" s="12">
        <f>' B2级比赛 '!S45*2.5</f>
        <v>10.2777777777778</v>
      </c>
      <c r="T45" s="12">
        <f>' B2级比赛 '!T45*2.5</f>
        <v>9.73684210526316</v>
      </c>
      <c r="U45" s="12">
        <f>' B2级比赛 '!U45*2.5</f>
        <v>9.25</v>
      </c>
      <c r="V45" s="12">
        <f>' B2级比赛 '!V45*2.5</f>
        <v>8.80952380952381</v>
      </c>
      <c r="W45" s="12">
        <f>' B2级比赛 '!W45*2.5</f>
        <v>8.40909090909091</v>
      </c>
      <c r="X45" s="12">
        <f>' B2级比赛 '!X45*2.5</f>
        <v>8.04347826086957</v>
      </c>
      <c r="Y45" s="12">
        <f>' B2级比赛 '!Y45*2.5</f>
        <v>7.70833333333333</v>
      </c>
      <c r="Z45" s="12">
        <f>' B2级比赛 '!Z45*2.5</f>
        <v>7.4</v>
      </c>
      <c r="AA45" s="12">
        <f>' B2级比赛 '!AA45*2.5</f>
        <v>7.11538461538462</v>
      </c>
      <c r="AB45" s="12">
        <f>' B2级比赛 '!AB45*2.5</f>
        <v>6.85185185185185</v>
      </c>
      <c r="AC45" s="12">
        <f>' B2级比赛 '!AC45*2.5</f>
        <v>6.60714285714286</v>
      </c>
      <c r="AD45" s="12">
        <f>' B2级比赛 '!AD45*2.5</f>
        <v>6.37931034482759</v>
      </c>
      <c r="AE45" s="12">
        <f>' B2级比赛 '!AE45*2.5</f>
        <v>6.16666666666667</v>
      </c>
      <c r="AF45" s="12">
        <f>' B2级比赛 '!AF45*2.5</f>
        <v>5.96774193548387</v>
      </c>
      <c r="AG45" s="12">
        <f>' B2级比赛 '!AG45*2.5</f>
        <v>5.78125</v>
      </c>
      <c r="AH45" s="12">
        <f>' B2级比赛 '!AH45*2.5</f>
        <v>5.60606060606061</v>
      </c>
      <c r="AI45" s="12">
        <f>' B2级比赛 '!AI45*2.5</f>
        <v>5.44117647058823</v>
      </c>
      <c r="AJ45" s="12">
        <f>' B2级比赛 '!AJ45*2.5</f>
        <v>5.28571428571429</v>
      </c>
      <c r="AK45" s="12">
        <f>' B2级比赛 '!AK45*2.5</f>
        <v>5.13888888888889</v>
      </c>
      <c r="AL45" s="12">
        <f>' B2级比赛 '!AL45*2.5</f>
        <v>5</v>
      </c>
      <c r="AM45" s="12">
        <f>' B2级比赛 '!AM45*2.5</f>
        <v>4.86842105263158</v>
      </c>
      <c r="AN45" s="12">
        <f>' B2级比赛 '!AN45*2.5</f>
        <v>4.74358974358974</v>
      </c>
      <c r="AO45" s="12">
        <f>' B2级比赛 '!AO45*2.5</f>
        <v>4.625</v>
      </c>
      <c r="AP45" s="12">
        <f>' B2级比赛 '!AP45*2.5</f>
        <v>4.51219512195122</v>
      </c>
      <c r="AQ45" s="12">
        <f>' B2级比赛 '!AQ45*2.5</f>
        <v>4.40476190476191</v>
      </c>
      <c r="AR45" s="12">
        <f>' B2级比赛 '!AR45*2.5</f>
        <v>4.30232558139535</v>
      </c>
      <c r="AS45" s="12">
        <f>' B2级比赛 '!AS45*2.5</f>
        <v>4.20454545454546</v>
      </c>
      <c r="AT45" s="12">
        <f>' B2级比赛 '!AT45*2.5</f>
        <v>4.11111111111111</v>
      </c>
      <c r="AU45" s="12">
        <f>' B2级比赛 '!AU45*2.5</f>
        <v>4.02173913043478</v>
      </c>
      <c r="AV45" s="12">
        <f>' B2级比赛 '!AV45*2.5</f>
        <v>3.93617021276596</v>
      </c>
      <c r="AW45" s="12">
        <f>' B2级比赛 '!AW45*2.5</f>
        <v>3.85416666666667</v>
      </c>
      <c r="AX45" s="12">
        <f>' B2级比赛 '!AX45*2.5</f>
        <v>3.77551020408163</v>
      </c>
      <c r="AY45" s="12">
        <f>' B2级比赛 '!AY45*2.5</f>
        <v>3.7</v>
      </c>
      <c r="AZ45" s="18">
        <f>' B2级比赛 '!AZ45*2.5</f>
        <v>3.62745098039216</v>
      </c>
      <c r="BA45" s="21">
        <f>' B2级比赛 '!BA45*2.5</f>
        <v>1009.37259543408</v>
      </c>
      <c r="BB45" s="20">
        <f>' B2级比赛 '!BB45*2.5</f>
        <v>4.02140476268558</v>
      </c>
      <c r="BC45" s="18"/>
      <c r="BD45" s="18"/>
      <c r="BE45" s="18">
        <f>' B2级比赛 '!BE45*2.5</f>
        <v>0</v>
      </c>
      <c r="BF45" s="18">
        <f>' B2级比赛 '!BF45*2.5</f>
        <v>0</v>
      </c>
      <c r="BG45" s="18"/>
      <c r="BH45" s="18"/>
      <c r="BI45" s="18"/>
      <c r="BJ45" s="18"/>
      <c r="BK45" s="18"/>
      <c r="BL45" s="18"/>
      <c r="BM45" s="18"/>
      <c r="BN45" s="23"/>
      <c r="BO45" s="23"/>
      <c r="BP45" s="23"/>
      <c r="BQ45" s="23"/>
      <c r="BR45" s="23"/>
      <c r="BS45" s="23"/>
      <c r="BT45" s="23"/>
      <c r="BU45" s="2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</row>
    <row r="46" spans="1:109">
      <c r="A46" s="11" t="s">
        <v>108</v>
      </c>
      <c r="B46" s="12">
        <f>' B2级比赛 '!B46*2.5</f>
        <v>232.5</v>
      </c>
      <c r="C46" s="12">
        <f>' B2级比赛 '!C46*2.5</f>
        <v>162.75</v>
      </c>
      <c r="D46" s="15">
        <f>' B2级比赛 '!D46*2.5</f>
        <v>116.25</v>
      </c>
      <c r="E46" s="15">
        <f>' B2级比赛 '!E46*2.5</f>
        <v>81.375</v>
      </c>
      <c r="F46" s="15">
        <f>' B2级比赛 '!F46*2.5</f>
        <v>46.5</v>
      </c>
      <c r="G46" s="15">
        <f>' B2级比赛 '!G46*2.5</f>
        <v>38.75</v>
      </c>
      <c r="H46" s="15">
        <f>' B2级比赛 '!H46*2.5</f>
        <v>33.2142857142857</v>
      </c>
      <c r="I46" s="15">
        <f>' B2级比赛 '!I46*2.5</f>
        <v>29.0625</v>
      </c>
      <c r="J46" s="15">
        <f>' B2级比赛 '!J46*2.5</f>
        <v>25.8333333333333</v>
      </c>
      <c r="K46" s="15">
        <f>' B2级比赛 '!K46*2.5</f>
        <v>23.25</v>
      </c>
      <c r="L46" s="15">
        <f>' B2级比赛 '!L46*2.5</f>
        <v>21.1363636363636</v>
      </c>
      <c r="M46" s="15">
        <f>' B2级比赛 '!M46*2.5</f>
        <v>19.375</v>
      </c>
      <c r="N46" s="15">
        <f>' B2级比赛 '!N46*2.5</f>
        <v>17.8846153846154</v>
      </c>
      <c r="O46" s="15">
        <f>' B2级比赛 '!O46*2.5</f>
        <v>16.6071428571429</v>
      </c>
      <c r="P46" s="12">
        <f>' B2级比赛 '!P46*2.5</f>
        <v>15.5</v>
      </c>
      <c r="Q46" s="12">
        <f>' B2级比赛 '!Q46*2.5</f>
        <v>14.53125</v>
      </c>
      <c r="R46" s="12">
        <f>' B2级比赛 '!R46*2.5</f>
        <v>13.6764705882353</v>
      </c>
      <c r="S46" s="12">
        <f>' B2级比赛 '!S46*2.5</f>
        <v>12.9166666666667</v>
      </c>
      <c r="T46" s="12">
        <f>' B2级比赛 '!T46*2.5</f>
        <v>12.2368421052632</v>
      </c>
      <c r="U46" s="12">
        <f>' B2级比赛 '!U46*2.5</f>
        <v>11.625</v>
      </c>
      <c r="V46" s="12">
        <f>' B2级比赛 '!V46*2.5</f>
        <v>11.0714285714286</v>
      </c>
      <c r="W46" s="12">
        <f>' B2级比赛 '!W46*2.5</f>
        <v>10.5681818181818</v>
      </c>
      <c r="X46" s="12">
        <f>' B2级比赛 '!X46*2.5</f>
        <v>10.1086956521739</v>
      </c>
      <c r="Y46" s="12">
        <f>' B2级比赛 '!Y46*2.5</f>
        <v>9.6875</v>
      </c>
      <c r="Z46" s="12">
        <f>' B2级比赛 '!Z46*2.5</f>
        <v>9.3</v>
      </c>
      <c r="AA46" s="12">
        <f>' B2级比赛 '!AA46*2.5</f>
        <v>8.94230769230769</v>
      </c>
      <c r="AB46" s="12">
        <f>' B2级比赛 '!AB46*2.5</f>
        <v>8.61111111111111</v>
      </c>
      <c r="AC46" s="12">
        <f>' B2级比赛 '!AC46*2.5</f>
        <v>8.30357142857143</v>
      </c>
      <c r="AD46" s="12">
        <f>' B2级比赛 '!AD46*2.5</f>
        <v>8.01724137931035</v>
      </c>
      <c r="AE46" s="12">
        <f>' B2级比赛 '!AE46*2.5</f>
        <v>7.75</v>
      </c>
      <c r="AF46" s="12">
        <f>' B2级比赛 '!AF46*2.5</f>
        <v>7.5</v>
      </c>
      <c r="AG46" s="12">
        <f>' B2级比赛 '!AG46*2.5</f>
        <v>7.265625</v>
      </c>
      <c r="AH46" s="12">
        <f>' B2级比赛 '!AH46*2.5</f>
        <v>7.04545454545455</v>
      </c>
      <c r="AI46" s="12">
        <f>' B2级比赛 '!AI46*2.5</f>
        <v>6.83823529411765</v>
      </c>
      <c r="AJ46" s="12">
        <f>' B2级比赛 '!AJ46*2.5</f>
        <v>6.64285714285714</v>
      </c>
      <c r="AK46" s="12">
        <f>' B2级比赛 '!AK46*2.5</f>
        <v>6.45833333333333</v>
      </c>
      <c r="AL46" s="12">
        <f>' B2级比赛 '!AL46*2.5</f>
        <v>6.28378378378378</v>
      </c>
      <c r="AM46" s="12">
        <f>' B2级比赛 '!AM46*2.5</f>
        <v>6.11842105263158</v>
      </c>
      <c r="AN46" s="12">
        <f>' B2级比赛 '!AN46*2.5</f>
        <v>5.96153846153846</v>
      </c>
      <c r="AO46" s="12">
        <f>' B2级比赛 '!AO46*2.5</f>
        <v>5.8125</v>
      </c>
      <c r="AP46" s="12">
        <f>' B2级比赛 '!AP46*2.5</f>
        <v>5.67073170731707</v>
      </c>
      <c r="AQ46" s="12">
        <f>' B2级比赛 '!AQ46*2.5</f>
        <v>5.53571428571429</v>
      </c>
      <c r="AR46" s="12">
        <f>' B2级比赛 '!AR46*2.5</f>
        <v>5.40697674418605</v>
      </c>
      <c r="AS46" s="12">
        <f>' B2级比赛 '!AS46*2.5</f>
        <v>5.28409090909091</v>
      </c>
      <c r="AT46" s="12">
        <f>' B2级比赛 '!AT46*2.5</f>
        <v>5.16666666666667</v>
      </c>
      <c r="AU46" s="12">
        <f>' B2级比赛 '!AU46*2.5</f>
        <v>5.05434782608696</v>
      </c>
      <c r="AV46" s="12">
        <f>' B2级比赛 '!AV46*2.5</f>
        <v>4.9468085106383</v>
      </c>
      <c r="AW46" s="12">
        <f>' B2级比赛 '!AW46*2.5</f>
        <v>4.84375</v>
      </c>
      <c r="AX46" s="12">
        <f>' B2级比赛 '!AX46*2.5</f>
        <v>4.74489795918367</v>
      </c>
      <c r="AY46" s="12">
        <f>' B2级比赛 '!AY46*2.5</f>
        <v>4.65</v>
      </c>
      <c r="AZ46" s="18">
        <f>' B2级比赛 '!AZ46*2.5</f>
        <v>4.55882352941176</v>
      </c>
      <c r="BA46" s="18">
        <f>' B2级比赛 '!BA46*2.5</f>
        <v>3.05921052631579</v>
      </c>
      <c r="BB46" s="21">
        <f>' B2级比赛 '!BB46*2.5</f>
        <v>1345.01609255478</v>
      </c>
      <c r="BC46" s="20">
        <f>' B2级比赛 '!BC46*2.5</f>
        <v>4.01497341061129</v>
      </c>
      <c r="BD46" s="18"/>
      <c r="BE46" s="18">
        <f>' B2级比赛 '!BE46*2.5</f>
        <v>0</v>
      </c>
      <c r="BF46" s="18">
        <f>' B2级比赛 '!BF46*2.5</f>
        <v>0</v>
      </c>
      <c r="BG46" s="18"/>
      <c r="BH46" s="18"/>
      <c r="BI46" s="18"/>
      <c r="BJ46" s="18"/>
      <c r="BK46" s="18"/>
      <c r="BL46" s="18"/>
      <c r="BM46" s="18"/>
      <c r="BN46" s="23"/>
      <c r="BO46" s="23"/>
      <c r="BP46" s="23"/>
      <c r="BQ46" s="23"/>
      <c r="BR46" s="23"/>
      <c r="BS46" s="23"/>
      <c r="BT46" s="23"/>
      <c r="BU46" s="2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</row>
    <row r="47" spans="1:109">
      <c r="A47" s="11" t="s">
        <v>109</v>
      </c>
      <c r="B47" s="12">
        <f>' B2级比赛 '!B47*2.5</f>
        <v>320</v>
      </c>
      <c r="C47" s="12">
        <f>' B2级比赛 '!C47*2.5</f>
        <v>224</v>
      </c>
      <c r="D47" s="15">
        <f>' B2级比赛 '!D47*2.5</f>
        <v>160</v>
      </c>
      <c r="E47" s="15">
        <f>' B2级比赛 '!E47*2.5</f>
        <v>112</v>
      </c>
      <c r="F47" s="15">
        <f>' B2级比赛 '!F47*2.5</f>
        <v>64</v>
      </c>
      <c r="G47" s="15">
        <f>' B2级比赛 '!G47*2.5</f>
        <v>53.3333333333333</v>
      </c>
      <c r="H47" s="15">
        <f>' B2级比赛 '!H47*2.5</f>
        <v>45.7142857142857</v>
      </c>
      <c r="I47" s="15">
        <f>' B2级比赛 '!I47*2.5</f>
        <v>40</v>
      </c>
      <c r="J47" s="15">
        <f>' B2级比赛 '!J47*2.5</f>
        <v>35.5555555555556</v>
      </c>
      <c r="K47" s="15">
        <f>' B2级比赛 '!K47*2.5</f>
        <v>32</v>
      </c>
      <c r="L47" s="15">
        <f>' B2级比赛 '!L47*2.5</f>
        <v>29.0909090909091</v>
      </c>
      <c r="M47" s="15">
        <f>' B2级比赛 '!M47*2.5</f>
        <v>26.6666666666667</v>
      </c>
      <c r="N47" s="15">
        <f>' B2级比赛 '!N47*2.5</f>
        <v>24.6153846153846</v>
      </c>
      <c r="O47" s="15">
        <f>' B2级比赛 '!O47*2.5</f>
        <v>22.8571428571429</v>
      </c>
      <c r="P47" s="12">
        <f>' B2级比赛 '!P47*2.5</f>
        <v>21.3333333333333</v>
      </c>
      <c r="Q47" s="12">
        <f>' B2级比赛 '!Q47*2.5</f>
        <v>20</v>
      </c>
      <c r="R47" s="12">
        <f>' B2级比赛 '!R47*2.5</f>
        <v>18.8235294117647</v>
      </c>
      <c r="S47" s="12">
        <f>' B2级比赛 '!S47*2.5</f>
        <v>17.7777777777778</v>
      </c>
      <c r="T47" s="12">
        <f>' B2级比赛 '!T47*2.5</f>
        <v>16.8421052631579</v>
      </c>
      <c r="U47" s="12">
        <f>' B2级比赛 '!U47*2.5</f>
        <v>16</v>
      </c>
      <c r="V47" s="12">
        <f>' B2级比赛 '!V47*2.5</f>
        <v>15.2380952380952</v>
      </c>
      <c r="W47" s="12">
        <f>' B2级比赛 '!W47*2.5</f>
        <v>14.5454545454545</v>
      </c>
      <c r="X47" s="12">
        <f>' B2级比赛 '!X47*2.5</f>
        <v>13.9130434782609</v>
      </c>
      <c r="Y47" s="12">
        <f>' B2级比赛 '!Y47*2.5</f>
        <v>13.3333333333333</v>
      </c>
      <c r="Z47" s="12">
        <f>' B2级比赛 '!Z47*2.5</f>
        <v>12.8</v>
      </c>
      <c r="AA47" s="12">
        <f>' B2级比赛 '!AA47*2.5</f>
        <v>12.3076923076923</v>
      </c>
      <c r="AB47" s="12">
        <f>' B2级比赛 '!AB47*2.5</f>
        <v>11.8518518518519</v>
      </c>
      <c r="AC47" s="12">
        <f>' B2级比赛 '!AC47*2.5</f>
        <v>11.4285714285714</v>
      </c>
      <c r="AD47" s="12">
        <f>' B2级比赛 '!AD47*2.5</f>
        <v>11.0344827586207</v>
      </c>
      <c r="AE47" s="12">
        <f>' B2级比赛 '!AE47*2.5</f>
        <v>10.6666666666667</v>
      </c>
      <c r="AF47" s="12">
        <f>' B2级比赛 '!AF47*2.5</f>
        <v>10.3225806451613</v>
      </c>
      <c r="AG47" s="12">
        <f>' B2级比赛 '!AG47*2.5</f>
        <v>10</v>
      </c>
      <c r="AH47" s="12">
        <f>' B2级比赛 '!AH47*2.5</f>
        <v>9.6969696969697</v>
      </c>
      <c r="AI47" s="12">
        <f>' B2级比赛 '!AI47*2.5</f>
        <v>9.41176470588235</v>
      </c>
      <c r="AJ47" s="12">
        <f>' B2级比赛 '!AJ47*2.5</f>
        <v>9.14285714285714</v>
      </c>
      <c r="AK47" s="12">
        <f>' B2级比赛 '!AK47*2.5</f>
        <v>8.88888888888889</v>
      </c>
      <c r="AL47" s="12">
        <f>' B2级比赛 '!AL47*2.5</f>
        <v>8.64864864864865</v>
      </c>
      <c r="AM47" s="12">
        <f>' B2级比赛 '!AM47*2.5</f>
        <v>8.42105263157895</v>
      </c>
      <c r="AN47" s="12">
        <f>' B2级比赛 '!AN47*2.5</f>
        <v>8.2051282051282</v>
      </c>
      <c r="AO47" s="12">
        <f>' B2级比赛 '!AO47*2.5</f>
        <v>8</v>
      </c>
      <c r="AP47" s="12">
        <f>' B2级比赛 '!AP47*2.5</f>
        <v>7.80487804878049</v>
      </c>
      <c r="AQ47" s="12">
        <f>' B2级比赛 '!AQ47*2.5</f>
        <v>7.61904761904762</v>
      </c>
      <c r="AR47" s="12">
        <f>' B2级比赛 '!AR47*2.5</f>
        <v>7.44186046511628</v>
      </c>
      <c r="AS47" s="12">
        <f>' B2级比赛 '!AS47*2.5</f>
        <v>7.27272727272727</v>
      </c>
      <c r="AT47" s="12">
        <f>' B2级比赛 '!AT47*2.5</f>
        <v>7.11111111111111</v>
      </c>
      <c r="AU47" s="12">
        <f>' B2级比赛 '!AU47*2.5</f>
        <v>6.95652173913043</v>
      </c>
      <c r="AV47" s="12">
        <f>' B2级比赛 '!AV47*2.5</f>
        <v>6.80851063829787</v>
      </c>
      <c r="AW47" s="12">
        <f>' B2级比赛 '!AW47*2.5</f>
        <v>6.66666666666667</v>
      </c>
      <c r="AX47" s="12">
        <f>' B2级比赛 '!AX47*2.5</f>
        <v>6.53061224489796</v>
      </c>
      <c r="AY47" s="12">
        <f>' B2级比赛 '!AY47*2.5</f>
        <v>6.4</v>
      </c>
      <c r="AZ47" s="18">
        <f>' B2级比赛 '!AZ47*2.5</f>
        <v>6.27450980392157</v>
      </c>
      <c r="BA47" s="18">
        <f>' B2级比赛 '!BA47*2.5</f>
        <v>4.21052631578947</v>
      </c>
      <c r="BB47" s="18">
        <f>' B2级比赛 '!BB47*2.5</f>
        <v>3.16831683168317</v>
      </c>
      <c r="BC47" s="21">
        <f>' B2级比赛 '!BC47*2.5</f>
        <v>2009.62078617568</v>
      </c>
      <c r="BD47" s="20">
        <f>' B2级比赛 '!BD47*2.5</f>
        <v>4.01924157235137</v>
      </c>
      <c r="BE47" s="18">
        <f>' B2级比赛 '!BE47*2.5</f>
        <v>0</v>
      </c>
      <c r="BF47" s="18">
        <f>' B2级比赛 '!BF47*2.5</f>
        <v>0</v>
      </c>
      <c r="BG47" s="18"/>
      <c r="BH47" s="18"/>
      <c r="BI47" s="18"/>
      <c r="BJ47" s="18"/>
      <c r="BK47" s="18"/>
      <c r="BL47" s="18"/>
      <c r="BM47" s="18"/>
      <c r="BN47" s="23"/>
      <c r="BO47" s="23"/>
      <c r="BP47" s="23"/>
      <c r="BQ47" s="23"/>
      <c r="BR47" s="23"/>
      <c r="BS47" s="23"/>
      <c r="BT47" s="23"/>
      <c r="BU47" s="2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</row>
    <row r="48" spans="1:109">
      <c r="A48" s="11" t="s">
        <v>110</v>
      </c>
      <c r="B48" s="12">
        <f>' B2级比赛 '!B48*2.5</f>
        <v>407.5</v>
      </c>
      <c r="C48" s="12">
        <f>' B2级比赛 '!C48*2.5</f>
        <v>285.25</v>
      </c>
      <c r="D48" s="15">
        <f>' B2级比赛 '!D48*2.5</f>
        <v>203.75</v>
      </c>
      <c r="E48" s="15">
        <f>' B2级比赛 '!E48*2.5</f>
        <v>142.625</v>
      </c>
      <c r="F48" s="15">
        <f>' B2级比赛 '!F48*2.5</f>
        <v>81.5</v>
      </c>
      <c r="G48" s="15">
        <f>' B2级比赛 '!G48*2.5</f>
        <v>67.9166666666667</v>
      </c>
      <c r="H48" s="15">
        <f>' B2级比赛 '!H48*2.5</f>
        <v>58.2142857142857</v>
      </c>
      <c r="I48" s="15">
        <f>' B2级比赛 '!I48*2.5</f>
        <v>50.9375</v>
      </c>
      <c r="J48" s="15">
        <f>' B2级比赛 '!J48*2.5</f>
        <v>45.2777777777778</v>
      </c>
      <c r="K48" s="15">
        <f>' B2级比赛 '!K48*2.5</f>
        <v>40.75</v>
      </c>
      <c r="L48" s="15">
        <f>' B2级比赛 '!L48*2.5</f>
        <v>37.0454545454545</v>
      </c>
      <c r="M48" s="15">
        <f>' B2级比赛 '!M48*2.5</f>
        <v>33.9583333333333</v>
      </c>
      <c r="N48" s="15">
        <f>' B2级比赛 '!N48*2.5</f>
        <v>31.3461538461538</v>
      </c>
      <c r="O48" s="15">
        <f>' B2级比赛 '!O48*2.5</f>
        <v>29.1071428571429</v>
      </c>
      <c r="P48" s="12">
        <f>' B2级比赛 '!P48*2.5</f>
        <v>27.1666666666667</v>
      </c>
      <c r="Q48" s="12">
        <f>' B2级比赛 '!Q48*2.5</f>
        <v>25.46875</v>
      </c>
      <c r="R48" s="12">
        <f>' B2级比赛 '!R48*2.5</f>
        <v>23.9705882352941</v>
      </c>
      <c r="S48" s="12">
        <f>' B2级比赛 '!S48*2.5</f>
        <v>22.6388888888889</v>
      </c>
      <c r="T48" s="12">
        <f>' B2级比赛 '!T48*2.5</f>
        <v>21.4473684210526</v>
      </c>
      <c r="U48" s="12">
        <f>' B2级比赛 '!U48*2.5</f>
        <v>20.375</v>
      </c>
      <c r="V48" s="12">
        <f>' B2级比赛 '!V48*2.5</f>
        <v>19.4047619047619</v>
      </c>
      <c r="W48" s="12">
        <f>' B2级比赛 '!W48*2.5</f>
        <v>18.5227272727273</v>
      </c>
      <c r="X48" s="12">
        <f>' B2级比赛 '!X48*2.5</f>
        <v>17.7173913043478</v>
      </c>
      <c r="Y48" s="12">
        <f>' B2级比赛 '!Y48*2.5</f>
        <v>16.9791666666667</v>
      </c>
      <c r="Z48" s="12">
        <f>' B2级比赛 '!Z48*2.5</f>
        <v>16.3</v>
      </c>
      <c r="AA48" s="12">
        <f>' B2级比赛 '!AA48*2.5</f>
        <v>15.6730769230769</v>
      </c>
      <c r="AB48" s="12">
        <f>' B2级比赛 '!AB48*2.5</f>
        <v>15.0925925925926</v>
      </c>
      <c r="AC48" s="12">
        <f>' B2级比赛 '!AC48*2.5</f>
        <v>14.5535714285714</v>
      </c>
      <c r="AD48" s="12">
        <f>' B2级比赛 '!AD48*2.5</f>
        <v>14.051724137931</v>
      </c>
      <c r="AE48" s="12">
        <f>' B2级比赛 '!AE48*2.5</f>
        <v>13.5833333333333</v>
      </c>
      <c r="AF48" s="12">
        <f>' B2级比赛 '!AF48*2.5</f>
        <v>13.1451612903226</v>
      </c>
      <c r="AG48" s="12">
        <f>' B2级比赛 '!AG48*2.5</f>
        <v>12.734375</v>
      </c>
      <c r="AH48" s="12">
        <f>' B2级比赛 '!AH48*2.5</f>
        <v>12.3484848484848</v>
      </c>
      <c r="AI48" s="12">
        <f>' B2级比赛 '!AI48*2.5</f>
        <v>11.9852941176471</v>
      </c>
      <c r="AJ48" s="12">
        <f>' B2级比赛 '!AJ48*2.5</f>
        <v>11.6428571428571</v>
      </c>
      <c r="AK48" s="12">
        <f>' B2级比赛 '!AK48*2.5</f>
        <v>11.3194444444444</v>
      </c>
      <c r="AL48" s="12">
        <f>' B2级比赛 '!AL48*2.5</f>
        <v>11.0135135135135</v>
      </c>
      <c r="AM48" s="12">
        <f>' B2级比赛 '!AM48*2.5</f>
        <v>10.7236842105263</v>
      </c>
      <c r="AN48" s="12">
        <f>' B2级比赛 '!AN48*2.5</f>
        <v>10.4487179487179</v>
      </c>
      <c r="AO48" s="12">
        <f>' B2级比赛 '!AO48*2.5</f>
        <v>10.1875</v>
      </c>
      <c r="AP48" s="12">
        <f>' B2级比赛 '!AP48*2.5</f>
        <v>9.9390243902439</v>
      </c>
      <c r="AQ48" s="12">
        <f>' B2级比赛 '!AQ48*2.5</f>
        <v>9.70238095238095</v>
      </c>
      <c r="AR48" s="12">
        <f>' B2级比赛 '!AR48*2.5</f>
        <v>9.47674418604651</v>
      </c>
      <c r="AS48" s="12">
        <f>' B2级比赛 '!AS48*2.5</f>
        <v>9.26136363636364</v>
      </c>
      <c r="AT48" s="12">
        <f>' B2级比赛 '!AT48*2.5</f>
        <v>9.05555555555556</v>
      </c>
      <c r="AU48" s="12">
        <f>' B2级比赛 '!AU48*2.5</f>
        <v>8.85869565217391</v>
      </c>
      <c r="AV48" s="12">
        <f>' B2级比赛 '!AV48*2.5</f>
        <v>8.67021276595745</v>
      </c>
      <c r="AW48" s="12">
        <f>' B2级比赛 '!AW48*2.5</f>
        <v>8.48958333333333</v>
      </c>
      <c r="AX48" s="12">
        <f>' B2级比赛 '!AX48*2.5</f>
        <v>8.31632653061224</v>
      </c>
      <c r="AY48" s="12">
        <f>' B2级比赛 '!AY48*2.5</f>
        <v>8.15</v>
      </c>
      <c r="AZ48" s="18">
        <f>' B2级比赛 '!AZ48*2.5</f>
        <v>7.99019607843137</v>
      </c>
      <c r="BA48" s="18">
        <f>' B2级比赛 '!BA48*2.5</f>
        <v>5.36184210526316</v>
      </c>
      <c r="BB48" s="18">
        <f>' B2级比赛 '!BB48*2.5</f>
        <v>4.03465346534654</v>
      </c>
      <c r="BC48" s="18">
        <f>' B2级比赛 '!BC48*2.5</f>
        <v>2.69867549668874</v>
      </c>
      <c r="BD48" s="21">
        <f>' B2级比赛 '!BD48*2.5</f>
        <v>2694.06024473004</v>
      </c>
      <c r="BE48" s="20">
        <f>' B2级比赛 '!BE48*2.5</f>
        <v>4.02098543989558</v>
      </c>
      <c r="BF48" s="18">
        <f>' B2级比赛 '!BF48*2.5</f>
        <v>0</v>
      </c>
      <c r="BG48" s="18"/>
      <c r="BH48" s="18"/>
      <c r="BI48" s="18"/>
      <c r="BJ48" s="18"/>
      <c r="BK48" s="18"/>
      <c r="BL48" s="18"/>
      <c r="BM48" s="18"/>
      <c r="BN48" s="23"/>
      <c r="BO48" s="23"/>
      <c r="BP48" s="23"/>
      <c r="BQ48" s="23"/>
      <c r="BR48" s="23"/>
      <c r="BS48" s="23"/>
      <c r="BT48" s="23"/>
      <c r="BU48" s="2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</row>
    <row r="49" s="2" customFormat="1" spans="1:109">
      <c r="A49" s="16" t="s">
        <v>111</v>
      </c>
      <c r="B49" s="17">
        <f>' B2级比赛 '!B49*2.5</f>
        <v>565</v>
      </c>
      <c r="C49" s="17">
        <f>' B2级比赛 '!C49*2.5</f>
        <v>395.5</v>
      </c>
      <c r="D49" s="17">
        <f>' B2级比赛 '!D49*2.5</f>
        <v>282.5</v>
      </c>
      <c r="E49" s="17">
        <f>' B2级比赛 '!E49*2.5</f>
        <v>197.75</v>
      </c>
      <c r="F49" s="17">
        <f>' B2级比赛 '!F49*2.5</f>
        <v>113</v>
      </c>
      <c r="G49" s="17">
        <f>' B2级比赛 '!G49*2.5</f>
        <v>94.1666666666667</v>
      </c>
      <c r="H49" s="17">
        <f>' B2级比赛 '!H49*2.5</f>
        <v>80.7142857142857</v>
      </c>
      <c r="I49" s="17">
        <f>' B2级比赛 '!I49*2.5</f>
        <v>70.625</v>
      </c>
      <c r="J49" s="17">
        <f>' B2级比赛 '!J49*2.5</f>
        <v>62.7777777777778</v>
      </c>
      <c r="K49" s="17">
        <f>' B2级比赛 '!K49*2.5</f>
        <v>56.5</v>
      </c>
      <c r="L49" s="17">
        <f>' B2级比赛 '!L49*2.5</f>
        <v>51.3636363636364</v>
      </c>
      <c r="M49" s="17">
        <f>' B2级比赛 '!M49*2.5</f>
        <v>47.0833333333333</v>
      </c>
      <c r="N49" s="17">
        <f>' B2级比赛 '!N49*2.5</f>
        <v>43.4615384615385</v>
      </c>
      <c r="O49" s="17">
        <f>' B2级比赛 '!O49*2.5</f>
        <v>40.3571428571429</v>
      </c>
      <c r="P49" s="17">
        <f>' B2级比赛 '!P49*2.5</f>
        <v>37.6666666666667</v>
      </c>
      <c r="Q49" s="17">
        <f>' B2级比赛 '!Q49*2.5</f>
        <v>35.3125</v>
      </c>
      <c r="R49" s="17">
        <f>' B2级比赛 '!R49*2.5</f>
        <v>33.2352941176471</v>
      </c>
      <c r="S49" s="17">
        <f>' B2级比赛 '!S49*2.5</f>
        <v>31.3888888888889</v>
      </c>
      <c r="T49" s="17">
        <f>' B2级比赛 '!T49*2.5</f>
        <v>29.7368421052632</v>
      </c>
      <c r="U49" s="17">
        <f>' B2级比赛 '!U49*2.5</f>
        <v>28.25</v>
      </c>
      <c r="V49" s="17">
        <f>' B2级比赛 '!V49*2.5</f>
        <v>26.9047619047619</v>
      </c>
      <c r="W49" s="17">
        <f>' B2级比赛 '!W49*2.5</f>
        <v>25.6818181818182</v>
      </c>
      <c r="X49" s="17">
        <f>' B2级比赛 '!X49*2.5</f>
        <v>24.5652173913043</v>
      </c>
      <c r="Y49" s="17">
        <f>' B2级比赛 '!Y49*2.5</f>
        <v>23.5416666666667</v>
      </c>
      <c r="Z49" s="17">
        <f>' B2级比赛 '!Z49*2.5</f>
        <v>22.6</v>
      </c>
      <c r="AA49" s="17">
        <f>' B2级比赛 '!AA49*2.5</f>
        <v>21.7307692307692</v>
      </c>
      <c r="AB49" s="17">
        <f>' B2级比赛 '!AB49*2.5</f>
        <v>20.9259259259259</v>
      </c>
      <c r="AC49" s="17">
        <f>' B2级比赛 '!AC49*2.5</f>
        <v>20.1785714285714</v>
      </c>
      <c r="AD49" s="17">
        <f>' B2级比赛 '!AD49*2.5</f>
        <v>19.4827586206897</v>
      </c>
      <c r="AE49" s="17">
        <f>' B2级比赛 '!AE49*2.5</f>
        <v>18.8333333333333</v>
      </c>
      <c r="AF49" s="17">
        <f>' B2级比赛 '!AF49*2.5</f>
        <v>18.2258064516129</v>
      </c>
      <c r="AG49" s="17">
        <f>' B2级比赛 '!AG49*2.5</f>
        <v>17.65625</v>
      </c>
      <c r="AH49" s="17">
        <f>' B2级比赛 '!AH49*2.5</f>
        <v>17.1212121212121</v>
      </c>
      <c r="AI49" s="17">
        <f>' B2级比赛 '!AI49*2.5</f>
        <v>16.6176470588235</v>
      </c>
      <c r="AJ49" s="17">
        <f>' B2级比赛 '!AJ49*2.5</f>
        <v>16.1428571428571</v>
      </c>
      <c r="AK49" s="17">
        <f>' B2级比赛 '!AK49*2.5</f>
        <v>15.6944444444444</v>
      </c>
      <c r="AL49" s="17">
        <f>' B2级比赛 '!AL49*2.5</f>
        <v>15.2702702702703</v>
      </c>
      <c r="AM49" s="17">
        <f>' B2级比赛 '!AM49*2.5</f>
        <v>14.8684210526316</v>
      </c>
      <c r="AN49" s="17">
        <f>' B2级比赛 '!AN49*2.5</f>
        <v>14.4871794871795</v>
      </c>
      <c r="AO49" s="17">
        <f>' B2级比赛 '!AO49*2.5</f>
        <v>14.125</v>
      </c>
      <c r="AP49" s="17">
        <f>' B2级比赛 '!AP49*2.5</f>
        <v>13.780487804878</v>
      </c>
      <c r="AQ49" s="17">
        <f>' B2级比赛 '!AQ49*2.5</f>
        <v>13.452380952381</v>
      </c>
      <c r="AR49" s="17">
        <f>' B2级比赛 '!AR49*2.5</f>
        <v>13.1395348837209</v>
      </c>
      <c r="AS49" s="17">
        <f>' B2级比赛 '!AS49*2.5</f>
        <v>12.8409090909091</v>
      </c>
      <c r="AT49" s="17">
        <f>' B2级比赛 '!AT49*2.5</f>
        <v>12.5555555555556</v>
      </c>
      <c r="AU49" s="17">
        <f>' B2级比赛 '!AU49*2.5</f>
        <v>12.2826086956522</v>
      </c>
      <c r="AV49" s="17">
        <f>' B2级比赛 '!AV49*2.5</f>
        <v>12.0212765957447</v>
      </c>
      <c r="AW49" s="17">
        <f>' B2级比赛 '!AW49*2.5</f>
        <v>11.7708333333333</v>
      </c>
      <c r="AX49" s="17">
        <f>' B2级比赛 '!AX49*2.5</f>
        <v>11.530612244898</v>
      </c>
      <c r="AY49" s="17">
        <f>' B2级比赛 '!AY49*2.5</f>
        <v>11.3</v>
      </c>
      <c r="AZ49" s="16">
        <f>' B2级比赛 '!AZ49*2.5</f>
        <v>11.078431372549</v>
      </c>
      <c r="BA49" s="16">
        <f>' B2级比赛 '!BA49*2.5</f>
        <v>7.43421052631579</v>
      </c>
      <c r="BB49" s="16">
        <f>' B2级比赛 '!BB49*2.5</f>
        <v>5.59405940594059</v>
      </c>
      <c r="BC49" s="16">
        <f>' B2级比赛 '!BC49*2.5</f>
        <v>3.74172185430464</v>
      </c>
      <c r="BD49" s="16">
        <f>' B2级比赛 '!BD49*2.5</f>
        <v>2.81094527363184</v>
      </c>
      <c r="BE49" s="21">
        <f>' B2级比赛 '!BE49*2.5</f>
        <v>4016.41732066986</v>
      </c>
      <c r="BF49" s="20">
        <f>' B2级比赛 '!BF49*2.5</f>
        <v>4.01641732066986</v>
      </c>
      <c r="BG49" s="18"/>
      <c r="BH49" s="18"/>
      <c r="BI49" s="18"/>
      <c r="BJ49" s="18"/>
      <c r="BK49" s="18"/>
      <c r="BL49" s="18"/>
      <c r="BM49" s="18"/>
      <c r="BN49" s="23"/>
      <c r="BO49" s="23"/>
      <c r="BP49" s="23"/>
      <c r="BQ49" s="23"/>
      <c r="BR49" s="23"/>
      <c r="BS49" s="23"/>
      <c r="BT49" s="23"/>
      <c r="BU49" s="2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</row>
    <row r="50" spans="1:109">
      <c r="A50" s="11" t="s">
        <v>112</v>
      </c>
      <c r="B50" s="12">
        <f>' B2级比赛 '!B50*2.5</f>
        <v>621.5</v>
      </c>
      <c r="C50" s="12">
        <f>' B2级比赛 '!C50*2.5</f>
        <v>522.06</v>
      </c>
      <c r="D50" s="15">
        <f>' B2级比赛 '!D50*2.5</f>
        <v>403.975</v>
      </c>
      <c r="E50" s="15">
        <f>' B2级比赛 '!E50*2.5</f>
        <v>282.7825</v>
      </c>
      <c r="F50" s="15">
        <f>' B2级比赛 '!F50*2.5</f>
        <v>161.59</v>
      </c>
      <c r="G50" s="15">
        <f>' B2级比赛 '!G50*2.5</f>
        <v>134.658333333333</v>
      </c>
      <c r="H50" s="15">
        <f>' B2级比赛 '!H50*2.5</f>
        <v>115.421428571429</v>
      </c>
      <c r="I50" s="15">
        <f>' B2级比赛 '!I50*2.5</f>
        <v>100.99375</v>
      </c>
      <c r="J50" s="15">
        <f>' B2级比赛 '!J50*2.5</f>
        <v>89.7722222222222</v>
      </c>
      <c r="K50" s="15">
        <f>' B2级比赛 '!K50*2.5</f>
        <v>80.795</v>
      </c>
      <c r="L50" s="15">
        <f>' B2级比赛 '!L50*2.5</f>
        <v>73.45</v>
      </c>
      <c r="M50" s="15">
        <f>' B2级比赛 '!M50*2.5</f>
        <v>67.3291666666667</v>
      </c>
      <c r="N50" s="15">
        <f>' B2级比赛 '!N50*2.5</f>
        <v>62.15</v>
      </c>
      <c r="O50" s="15">
        <f>' B2级比赛 '!O50*2.5</f>
        <v>57.7107142857143</v>
      </c>
      <c r="P50" s="12">
        <f>' B2级比赛 '!P50*2.5</f>
        <v>53.8633333333333</v>
      </c>
      <c r="Q50" s="12">
        <f>' B2级比赛 '!Q50*2.5</f>
        <v>50.496875</v>
      </c>
      <c r="R50" s="12">
        <f>' B2级比赛 '!R50*2.5</f>
        <v>47.5264705882353</v>
      </c>
      <c r="S50" s="12">
        <f>' B2级比赛 '!S50*2.5</f>
        <v>44.8861111111111</v>
      </c>
      <c r="T50" s="12">
        <f>' B2级比赛 '!T50*2.5</f>
        <v>42.5236842105263</v>
      </c>
      <c r="U50" s="12">
        <f>' B2级比赛 '!U50*2.5</f>
        <v>40.3975</v>
      </c>
      <c r="V50" s="12">
        <f>' B2级比赛 '!V50*2.5</f>
        <v>38.4738095238095</v>
      </c>
      <c r="W50" s="12">
        <f>' B2级比赛 '!W50*2.5</f>
        <v>36.725</v>
      </c>
      <c r="X50" s="12">
        <f>' B2级比赛 '!X50*2.5</f>
        <v>35.1282608695652</v>
      </c>
      <c r="Y50" s="12">
        <f>' B2级比赛 '!Y50*2.5</f>
        <v>33.6645833333333</v>
      </c>
      <c r="Z50" s="12">
        <f>' B2级比赛 '!Z50*2.5</f>
        <v>32.318</v>
      </c>
      <c r="AA50" s="12">
        <f>' B2级比赛 '!AA50*2.5</f>
        <v>31.075</v>
      </c>
      <c r="AB50" s="12">
        <f>' B2级比赛 '!AB50*2.5</f>
        <v>29.9240740740741</v>
      </c>
      <c r="AC50" s="12">
        <f>' B2级比赛 '!AC50*2.5</f>
        <v>28.8553571428572</v>
      </c>
      <c r="AD50" s="12">
        <f>' B2级比赛 '!AD50*2.5</f>
        <v>27.8603448275862</v>
      </c>
      <c r="AE50" s="12">
        <f>' B2级比赛 '!AE50*2.5</f>
        <v>26.9316666666667</v>
      </c>
      <c r="AF50" s="12">
        <f>' B2级比赛 '!AF50*2.5</f>
        <v>26.0629032258065</v>
      </c>
      <c r="AG50" s="12">
        <f>' B2级比赛 '!AG50*2.5</f>
        <v>25.2484375</v>
      </c>
      <c r="AH50" s="12">
        <f>' B2级比赛 '!AH50*2.5</f>
        <v>24.4833333333333</v>
      </c>
      <c r="AI50" s="12">
        <f>' B2级比赛 '!AI50*2.5</f>
        <v>21.9352941176471</v>
      </c>
      <c r="AJ50" s="12">
        <f>' B2级比赛 '!AJ50*2.5</f>
        <v>21.3085714285714</v>
      </c>
      <c r="AK50" s="12">
        <f>' B2级比赛 '!AK50*2.5</f>
        <v>20.7166666666667</v>
      </c>
      <c r="AL50" s="12">
        <f>' B2级比赛 '!AL50*2.5</f>
        <v>20.1567567567568</v>
      </c>
      <c r="AM50" s="12">
        <f>' B2级比赛 '!AM50*2.5</f>
        <v>19.6263157894737</v>
      </c>
      <c r="AN50" s="12">
        <f>' B2级比赛 '!AN50*2.5</f>
        <v>19.1230769230769</v>
      </c>
      <c r="AO50" s="12">
        <f>' B2级比赛 '!AO50*2.5</f>
        <v>18.645</v>
      </c>
      <c r="AP50" s="12">
        <f>' B2级比赛 '!AP50*2.5</f>
        <v>18.190243902439</v>
      </c>
      <c r="AQ50" s="12">
        <f>' B2级比赛 '!AQ50*2.5</f>
        <v>17.7571428571429</v>
      </c>
      <c r="AR50" s="12">
        <f>' B2级比赛 '!AR50*2.5</f>
        <v>17.3441860465116</v>
      </c>
      <c r="AS50" s="12">
        <f>' B2级比赛 '!AS50*2.5</f>
        <v>16.95</v>
      </c>
      <c r="AT50" s="12">
        <f>' B2级比赛 '!AT50*2.5</f>
        <v>16.5733333333333</v>
      </c>
      <c r="AU50" s="12">
        <f>' B2级比赛 '!AU50*2.5</f>
        <v>16.2130434782609</v>
      </c>
      <c r="AV50" s="12">
        <f>' B2级比赛 '!AV50*2.5</f>
        <v>15.868085106383</v>
      </c>
      <c r="AW50" s="12">
        <f>' B2级比赛 '!AW50*2.5</f>
        <v>15.5375</v>
      </c>
      <c r="AX50" s="12">
        <f>' B2级比赛 '!AX50*2.5</f>
        <v>15.2204081632653</v>
      </c>
      <c r="AY50" s="12">
        <f>' B2级比赛 '!AY50*2.5</f>
        <v>14.916</v>
      </c>
      <c r="AZ50" s="18">
        <f>' B2级比赛 '!AZ50*2.5</f>
        <v>14.6235294117647</v>
      </c>
      <c r="BA50" s="18">
        <f>' B2级比赛 '!BA50*2.5</f>
        <v>9.81315789473684</v>
      </c>
      <c r="BB50" s="18">
        <f>' B2级比赛 '!BB50*2.5</f>
        <v>7.38415841584159</v>
      </c>
      <c r="BC50" s="18">
        <f>' B2级比赛 '!BC50*2.5</f>
        <v>4.93907284768212</v>
      </c>
      <c r="BD50" s="18">
        <f>' B2级比赛 '!BD50*2.5</f>
        <v>3.71044776119403</v>
      </c>
      <c r="BE50" s="18">
        <f>' B2级比赛 '!BE50*2.5</f>
        <v>2.47774086378738</v>
      </c>
      <c r="BF50" s="21">
        <f>' B2级比赛 '!BF50*2.5</f>
        <v>5602.612092726</v>
      </c>
      <c r="BG50" s="20">
        <f>' B2级比赛 '!BG50*2.5</f>
        <v>4.00186578051857</v>
      </c>
      <c r="BH50" s="18"/>
      <c r="BI50" s="18"/>
      <c r="BJ50" s="18"/>
      <c r="BK50" s="18"/>
      <c r="BL50" s="18"/>
      <c r="BM50" s="18"/>
      <c r="BN50" s="23"/>
      <c r="BO50" s="23"/>
      <c r="BP50" s="23"/>
      <c r="BQ50" s="23"/>
      <c r="BR50" s="23"/>
      <c r="BS50" s="23"/>
      <c r="BT50" s="23"/>
      <c r="BU50" s="2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</row>
    <row r="51" spans="1:109">
      <c r="A51" s="11" t="s">
        <v>113</v>
      </c>
      <c r="B51" s="12">
        <f>' B2级比赛 '!B51*2.5</f>
        <v>714.725</v>
      </c>
      <c r="C51" s="12">
        <f>' B2级比赛 '!C51*2.5</f>
        <v>600.369</v>
      </c>
      <c r="D51" s="15">
        <f>' B2级比赛 '!D51*2.5</f>
        <v>428.835</v>
      </c>
      <c r="E51" s="15">
        <f>' B2级比赛 '!E51*2.5</f>
        <v>300.1845</v>
      </c>
      <c r="F51" s="15">
        <f>' B2级比赛 '!F51*2.5</f>
        <v>171.534</v>
      </c>
      <c r="G51" s="15">
        <f>' B2级比赛 '!G51*2.5</f>
        <v>142.945</v>
      </c>
      <c r="H51" s="15">
        <f>' B2级比赛 '!H51*2.5</f>
        <v>122.524285714286</v>
      </c>
      <c r="I51" s="15">
        <f>' B2级比赛 '!I51*2.5</f>
        <v>107.20875</v>
      </c>
      <c r="J51" s="15">
        <f>' B2级比赛 '!J51*2.5</f>
        <v>95.2966666666667</v>
      </c>
      <c r="K51" s="15">
        <f>' B2级比赛 '!K51*2.5</f>
        <v>85.767</v>
      </c>
      <c r="L51" s="15">
        <f>' B2级比赛 '!L51*2.5</f>
        <v>77.97</v>
      </c>
      <c r="M51" s="15">
        <f>' B2级比赛 '!M51*2.5</f>
        <v>71.4725</v>
      </c>
      <c r="N51" s="15">
        <f>' B2级比赛 '!N51*2.5</f>
        <v>65.9746153846154</v>
      </c>
      <c r="O51" s="15">
        <f>' B2级比赛 '!O51*2.5</f>
        <v>61.2621428571429</v>
      </c>
      <c r="P51" s="12">
        <f>' B2级比赛 '!P51*2.5</f>
        <v>57.178</v>
      </c>
      <c r="Q51" s="12">
        <f>' B2级比赛 '!Q51*2.5</f>
        <v>53.604375</v>
      </c>
      <c r="R51" s="12">
        <f>' B2级比赛 '!R51*2.5</f>
        <v>50.4511764705882</v>
      </c>
      <c r="S51" s="12">
        <f>' B2级比赛 '!S51*2.5</f>
        <v>47.6483333333333</v>
      </c>
      <c r="T51" s="12">
        <f>' B2级比赛 '!T51*2.5</f>
        <v>45.1405263157895</v>
      </c>
      <c r="U51" s="12">
        <f>' B2级比赛 '!U51*2.5</f>
        <v>42.8835</v>
      </c>
      <c r="V51" s="12">
        <f>' B2级比赛 '!V51*2.5</f>
        <v>40.8414285714286</v>
      </c>
      <c r="W51" s="12">
        <f>' B2级比赛 '!W51*2.5</f>
        <v>38.985</v>
      </c>
      <c r="X51" s="12">
        <f>' B2级比赛 '!X51*2.5</f>
        <v>37.29</v>
      </c>
      <c r="Y51" s="12">
        <f>' B2级比赛 '!Y51*2.5</f>
        <v>35.73625</v>
      </c>
      <c r="Z51" s="12">
        <f>' B2级比赛 '!Z51*2.5</f>
        <v>34.3068</v>
      </c>
      <c r="AA51" s="12">
        <f>' B2级比赛 '!AA51*2.5</f>
        <v>32.9873076923077</v>
      </c>
      <c r="AB51" s="12">
        <f>' B2级比赛 '!AB51*2.5</f>
        <v>31.7655555555556</v>
      </c>
      <c r="AC51" s="12">
        <f>' B2级比赛 '!AC51*2.5</f>
        <v>30.6310714285714</v>
      </c>
      <c r="AD51" s="12">
        <f>' B2级比赛 '!AD51*2.5</f>
        <v>29.5748275862069</v>
      </c>
      <c r="AE51" s="12">
        <f>' B2级比赛 '!AE51*2.5</f>
        <v>28.589</v>
      </c>
      <c r="AF51" s="12">
        <f>' B2级比赛 '!AF51*2.5</f>
        <v>27.6667741935484</v>
      </c>
      <c r="AG51" s="12">
        <f>' B2级比赛 '!AG51*2.5</f>
        <v>26.8021875</v>
      </c>
      <c r="AH51" s="12">
        <f>' B2级比赛 '!AH51*2.5</f>
        <v>25.99</v>
      </c>
      <c r="AI51" s="12">
        <f>' B2级比赛 '!AI51*2.5</f>
        <v>25.2255882352941</v>
      </c>
      <c r="AJ51" s="12">
        <f>' B2级比赛 '!AJ51*2.5</f>
        <v>24.5048571428571</v>
      </c>
      <c r="AK51" s="12">
        <f>' B2级比赛 '!AK51*2.5</f>
        <v>23.8241666666667</v>
      </c>
      <c r="AL51" s="12">
        <f>' B2级比赛 '!AL51*2.5</f>
        <v>23.1802702702703</v>
      </c>
      <c r="AM51" s="12">
        <f>' B2级比赛 '!AM51*2.5</f>
        <v>22.5702631578947</v>
      </c>
      <c r="AN51" s="12">
        <f>' B2级比赛 '!AN51*2.5</f>
        <v>21.9915384615385</v>
      </c>
      <c r="AO51" s="12">
        <f>' B2级比赛 '!AO51*2.5</f>
        <v>21.44175</v>
      </c>
      <c r="AP51" s="12">
        <f>' B2级比赛 '!AP51*2.5</f>
        <v>20.9187804878049</v>
      </c>
      <c r="AQ51" s="12">
        <f>' B2级比赛 '!AQ51*2.5</f>
        <v>20.4207142857143</v>
      </c>
      <c r="AR51" s="12">
        <f>' B2级比赛 '!AR51*2.5</f>
        <v>19.9458139534884</v>
      </c>
      <c r="AS51" s="12">
        <f>' B2级比赛 '!AS51*2.5</f>
        <v>19.4925</v>
      </c>
      <c r="AT51" s="12">
        <f>' B2级比赛 '!AT51*2.5</f>
        <v>19.0593333333333</v>
      </c>
      <c r="AU51" s="12">
        <f>' B2级比赛 '!AU51*2.5</f>
        <v>18.645</v>
      </c>
      <c r="AV51" s="12">
        <f>' B2级比赛 '!AV51*2.5</f>
        <v>18.2482978723404</v>
      </c>
      <c r="AW51" s="12">
        <f>' B2级比赛 '!AW51*2.5</f>
        <v>17.868125</v>
      </c>
      <c r="AX51" s="12">
        <f>' B2级比赛 '!AX51*2.5</f>
        <v>17.5034693877551</v>
      </c>
      <c r="AY51" s="12">
        <f>' B2级比赛 '!AY51*2.5</f>
        <v>17.1534</v>
      </c>
      <c r="AZ51" s="18">
        <f>' B2级比赛 '!AZ51*2.5</f>
        <v>15.415637254902</v>
      </c>
      <c r="BA51" s="18">
        <f>' B2级比赛 '!BA51*2.5</f>
        <v>10.3447039473684</v>
      </c>
      <c r="BB51" s="18">
        <f>' B2级比赛 '!BB51*2.5</f>
        <v>7.78413366336634</v>
      </c>
      <c r="BC51" s="18">
        <f>' B2级比赛 '!BC51*2.5</f>
        <v>5.2066059602649</v>
      </c>
      <c r="BD51" s="18">
        <f>' B2级比赛 '!BD51*2.5</f>
        <v>3.91143034825871</v>
      </c>
      <c r="BE51" s="18">
        <f>' B2级比赛 '!BE51*2.5</f>
        <v>2.61195182724252</v>
      </c>
      <c r="BF51" s="18">
        <f>' B2级比赛 '!BF51*2.5</f>
        <v>1.7823566084788</v>
      </c>
      <c r="BG51" s="21">
        <f>' B2级比赛 '!BG51*2.5</f>
        <v>6240.25383216132</v>
      </c>
      <c r="BH51" s="20">
        <f>' B2级比赛 '!BH51*2.5</f>
        <v>4.02597021429763</v>
      </c>
      <c r="BI51" s="18"/>
      <c r="BJ51" s="18"/>
      <c r="BK51" s="18"/>
      <c r="BL51" s="18"/>
      <c r="BM51" s="18"/>
      <c r="BN51" s="23"/>
      <c r="BO51" s="23"/>
      <c r="BP51" s="23"/>
      <c r="BQ51" s="23"/>
      <c r="BR51" s="23"/>
      <c r="BS51" s="23"/>
      <c r="BT51" s="23"/>
      <c r="BU51" s="2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09">
      <c r="A52" s="11" t="s">
        <v>114</v>
      </c>
      <c r="B52" s="12">
        <f>' B2级比赛 '!B52*2.5</f>
        <v>821.93375</v>
      </c>
      <c r="C52" s="12">
        <f>' B2级比赛 '!C52*2.5</f>
        <v>690.42435</v>
      </c>
      <c r="D52" s="15">
        <f>' B2级比赛 '!D52*2.5</f>
        <v>534.2569375</v>
      </c>
      <c r="E52" s="15">
        <f>' B2级比赛 '!E52*2.5</f>
        <v>373.97985625</v>
      </c>
      <c r="F52" s="15">
        <f>' B2级比赛 '!F52*2.5</f>
        <v>213.702775</v>
      </c>
      <c r="G52" s="15">
        <f>' B2级比赛 '!G52*2.5</f>
        <v>178.085645833333</v>
      </c>
      <c r="H52" s="15">
        <f>' B2级比赛 '!H52*2.5</f>
        <v>152.644839285714</v>
      </c>
      <c r="I52" s="15">
        <f>' B2级比赛 '!I52*2.5</f>
        <v>133.564234375</v>
      </c>
      <c r="J52" s="15">
        <f>' B2级比赛 '!J52*2.5</f>
        <v>109.591166666667</v>
      </c>
      <c r="K52" s="15">
        <f>' B2级比赛 '!K52*2.5</f>
        <v>106.8513875</v>
      </c>
      <c r="L52" s="15">
        <f>' B2级比赛 '!L52*2.5</f>
        <v>97.137625</v>
      </c>
      <c r="M52" s="15">
        <f>' B2级比赛 '!M52*2.5</f>
        <v>89.0428229166667</v>
      </c>
      <c r="N52" s="15">
        <f>' B2级比赛 '!N52*2.5</f>
        <v>82.193375</v>
      </c>
      <c r="O52" s="15">
        <f>' B2级比赛 '!O52*2.5</f>
        <v>76.3224196428571</v>
      </c>
      <c r="P52" s="12">
        <f>' B2级比赛 '!P52*2.5</f>
        <v>71.2342583333333</v>
      </c>
      <c r="Q52" s="12">
        <f>' B2级比赛 '!Q52*2.5</f>
        <v>66.7821171875</v>
      </c>
      <c r="R52" s="12">
        <f>' B2级比赛 '!R52*2.5</f>
        <v>62.8537573529412</v>
      </c>
      <c r="S52" s="12">
        <f>' B2级比赛 '!S52*2.5</f>
        <v>59.3618819444444</v>
      </c>
      <c r="T52" s="12">
        <f>' B2级比赛 '!T52*2.5</f>
        <v>56.2375723684211</v>
      </c>
      <c r="U52" s="12">
        <f>' B2级比赛 '!U52*2.5</f>
        <v>53.42569375</v>
      </c>
      <c r="V52" s="12">
        <f>' B2级比赛 '!V52*2.5</f>
        <v>50.8816130952381</v>
      </c>
      <c r="W52" s="12">
        <f>' B2级比赛 '!W52*2.5</f>
        <v>48.5688125</v>
      </c>
      <c r="X52" s="12">
        <f>' B2级比赛 '!X52*2.5</f>
        <v>46.457125</v>
      </c>
      <c r="Y52" s="12">
        <f>' B2级比赛 '!Y52*2.5</f>
        <v>44.5214114583333</v>
      </c>
      <c r="Z52" s="12">
        <f>' B2级比赛 '!Z52*2.5</f>
        <v>42.740555</v>
      </c>
      <c r="AA52" s="12">
        <f>' B2级比赛 '!AA52*2.5</f>
        <v>41.0966875</v>
      </c>
      <c r="AB52" s="12">
        <f>' B2级比赛 '!AB52*2.5</f>
        <v>39.574587962963</v>
      </c>
      <c r="AC52" s="12">
        <f>' B2级比赛 '!AC52*2.5</f>
        <v>38.1612098214286</v>
      </c>
      <c r="AD52" s="12">
        <f>' B2级比赛 '!AD52*2.5</f>
        <v>36.8453060344828</v>
      </c>
      <c r="AE52" s="12">
        <f>' B2级比赛 '!AE52*2.5</f>
        <v>35.6171291666667</v>
      </c>
      <c r="AF52" s="12">
        <f>' B2级比赛 '!AF52*2.5</f>
        <v>34.468189516129</v>
      </c>
      <c r="AG52" s="12">
        <f>' B2级比赛 '!AG52*2.5</f>
        <v>33.39105859375</v>
      </c>
      <c r="AH52" s="12">
        <f>' B2级比赛 '!AH52*2.5</f>
        <v>32.3792083333333</v>
      </c>
      <c r="AI52" s="12">
        <f>' B2级比赛 '!AI52*2.5</f>
        <v>31.4268786764706</v>
      </c>
      <c r="AJ52" s="12">
        <f>' B2级比赛 '!AJ52*2.5</f>
        <v>30.5289678571429</v>
      </c>
      <c r="AK52" s="12">
        <f>' B2级比赛 '!AK52*2.5</f>
        <v>29.6809409722222</v>
      </c>
      <c r="AL52" s="12">
        <f>' B2级比赛 '!AL52*2.5</f>
        <v>28.8787533783784</v>
      </c>
      <c r="AM52" s="12">
        <f>' B2级比赛 '!AM52*2.5</f>
        <v>28.1187861842105</v>
      </c>
      <c r="AN52" s="12">
        <f>' B2级比赛 '!AN52*2.5</f>
        <v>27.3977916666667</v>
      </c>
      <c r="AO52" s="12">
        <f>' B2级比赛 '!AO52*2.5</f>
        <v>26.712846875</v>
      </c>
      <c r="AP52" s="12">
        <f>' B2级比赛 '!AP52*2.5</f>
        <v>26.0613140243902</v>
      </c>
      <c r="AQ52" s="12">
        <f>' B2级比赛 '!AQ52*2.5</f>
        <v>25.440806547619</v>
      </c>
      <c r="AR52" s="12">
        <f>' B2级比赛 '!AR52*2.5</f>
        <v>24.8491598837209</v>
      </c>
      <c r="AS52" s="12">
        <f>' B2级比赛 '!AS52*2.5</f>
        <v>24.28440625</v>
      </c>
      <c r="AT52" s="12">
        <f>' B2级比赛 '!AT52*2.5</f>
        <v>23.7447527777778</v>
      </c>
      <c r="AU52" s="12">
        <f>' B2级比赛 '!AU52*2.5</f>
        <v>23.2285625</v>
      </c>
      <c r="AV52" s="12">
        <f>' B2级比赛 '!AV52*2.5</f>
        <v>22.7343377659574</v>
      </c>
      <c r="AW52" s="12">
        <f>' B2级比赛 '!AW52*2.5</f>
        <v>22.2607057291667</v>
      </c>
      <c r="AX52" s="12">
        <f>' B2级比赛 '!AX52*2.5</f>
        <v>21.8064056122449</v>
      </c>
      <c r="AY52" s="12">
        <f>' B2级比赛 '!AY52*2.5</f>
        <v>21.3702775</v>
      </c>
      <c r="AZ52" s="18">
        <f>' B2级比赛 '!AZ52*2.5</f>
        <v>20.9512524509804</v>
      </c>
      <c r="BA52" s="18">
        <f>' B2级比赛 '!BA52*2.5</f>
        <v>14.0593930921053</v>
      </c>
      <c r="BB52" s="18">
        <f>' B2级比赛 '!BB52*2.5</f>
        <v>9.76554950495049</v>
      </c>
      <c r="BC52" s="18">
        <f>' B2级比赛 '!BC52*2.5</f>
        <v>6.5319238410596</v>
      </c>
      <c r="BD52" s="18">
        <f>' B2级比赛 '!BD52*2.5</f>
        <v>4.49814490049751</v>
      </c>
      <c r="BE52" s="18">
        <f>' B2级比赛 '!BE52*2.5</f>
        <v>3.0037446013289</v>
      </c>
      <c r="BF52" s="18">
        <f>' B2级比赛 '!BF52*2.5</f>
        <v>2.04971009975062</v>
      </c>
      <c r="BG52" s="18">
        <f>' B2级比赛 '!BG52*2.5</f>
        <v>1.64058632734531</v>
      </c>
      <c r="BH52" s="21">
        <f>' B2级比赛 '!BH52*2.5</f>
        <v>8048.30140196185</v>
      </c>
      <c r="BI52" s="20">
        <f>' B2级比赛 '!BI52*2.5</f>
        <v>4.02415070098092</v>
      </c>
      <c r="BJ52" s="18"/>
      <c r="BK52" s="18"/>
      <c r="BL52" s="18"/>
      <c r="BM52" s="18"/>
      <c r="BN52" s="23"/>
      <c r="BO52" s="23"/>
      <c r="BP52" s="23"/>
      <c r="BQ52" s="23"/>
      <c r="BR52" s="23"/>
      <c r="BS52" s="23"/>
      <c r="BT52" s="23"/>
      <c r="BU52" s="2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</row>
    <row r="53" spans="1:109">
      <c r="A53" s="11" t="s">
        <v>115</v>
      </c>
      <c r="B53" s="12">
        <f>' B2级比赛 '!B53*2.5</f>
        <v>945.2238125</v>
      </c>
      <c r="C53" s="12">
        <f>' B2级比赛 '!C53*2.5</f>
        <v>860.153669375</v>
      </c>
      <c r="D53" s="15">
        <f>' B2级比赛 '!D53*2.5</f>
        <v>708.917859375</v>
      </c>
      <c r="E53" s="15">
        <f>' B2级比赛 '!E53*2.5</f>
        <v>562.4081684375</v>
      </c>
      <c r="F53" s="15">
        <f>' B2级比赛 '!F53*2.5</f>
        <v>321.37609625</v>
      </c>
      <c r="G53" s="15">
        <f>' B2级比赛 '!G53*2.5</f>
        <v>267.813413541667</v>
      </c>
      <c r="H53" s="15">
        <f>' B2级比赛 '!H53*2.5</f>
        <v>229.554354464286</v>
      </c>
      <c r="I53" s="15">
        <f>' B2级比赛 '!I53*2.5</f>
        <v>200.86006015625</v>
      </c>
      <c r="J53" s="15">
        <f>' B2级比赛 '!J53*2.5</f>
        <v>178.542275694444</v>
      </c>
      <c r="K53" s="15">
        <f>' B2级比赛 '!K53*2.5</f>
        <v>160.688048125</v>
      </c>
      <c r="L53" s="15">
        <f>' B2级比赛 '!L53*2.5</f>
        <v>146.08004375</v>
      </c>
      <c r="M53" s="15">
        <f>' B2级比赛 '!M53*2.5</f>
        <v>133.906706770833</v>
      </c>
      <c r="N53" s="15">
        <f>' B2级比赛 '!N53*2.5</f>
        <v>123.606190865385</v>
      </c>
      <c r="O53" s="15">
        <f>' B2级比赛 '!O53*2.5</f>
        <v>114.777177232143</v>
      </c>
      <c r="P53" s="12">
        <f>' B2级比赛 '!P53*2.5</f>
        <v>107.125365416667</v>
      </c>
      <c r="Q53" s="12">
        <f>' B2级比赛 '!Q53*2.5</f>
        <v>100.430030078125</v>
      </c>
      <c r="R53" s="12">
        <f>' B2级比赛 '!R53*2.5</f>
        <v>83.4021011029412</v>
      </c>
      <c r="S53" s="12">
        <f>' B2级比赛 '!S53*2.5</f>
        <v>89.2711378472222</v>
      </c>
      <c r="T53" s="12">
        <f>' B2级比赛 '!T53*2.5</f>
        <v>84.5726569078947</v>
      </c>
      <c r="U53" s="12">
        <f>' B2级比赛 '!U53*2.5</f>
        <v>80.3440240625</v>
      </c>
      <c r="V53" s="12">
        <f>' B2级比赛 '!V53*2.5</f>
        <v>76.5181181547619</v>
      </c>
      <c r="W53" s="12">
        <f>' B2级比赛 '!W53*2.5</f>
        <v>73.040021875</v>
      </c>
      <c r="X53" s="12">
        <f>' B2级比赛 '!X53*2.5</f>
        <v>69.86436875</v>
      </c>
      <c r="Y53" s="12">
        <f>' B2级比赛 '!Y53*2.5</f>
        <v>66.9533533854166</v>
      </c>
      <c r="Z53" s="12">
        <f>' B2级比赛 '!Z53*2.5</f>
        <v>64.27521925</v>
      </c>
      <c r="AA53" s="12">
        <f>' B2级比赛 '!AA53*2.5</f>
        <v>61.8030954326923</v>
      </c>
      <c r="AB53" s="12">
        <f>' B2级比赛 '!AB53*2.5</f>
        <v>59.5140918981481</v>
      </c>
      <c r="AC53" s="12">
        <f>' B2级比赛 '!AC53*2.5</f>
        <v>57.3885886160714</v>
      </c>
      <c r="AD53" s="12">
        <f>' B2级比赛 '!AD53*2.5</f>
        <v>55.4096717672414</v>
      </c>
      <c r="AE53" s="12">
        <f>' B2级比赛 '!AE53*2.5</f>
        <v>53.5626827083333</v>
      </c>
      <c r="AF53" s="12">
        <f>' B2级比赛 '!AF53*2.5</f>
        <v>51.834854233871</v>
      </c>
      <c r="AG53" s="12">
        <f>' B2级比赛 '!AG53*2.5</f>
        <v>50.2150150390625</v>
      </c>
      <c r="AH53" s="12">
        <f>' B2级比赛 '!AH53*2.5</f>
        <v>48.6933479166667</v>
      </c>
      <c r="AI53" s="12">
        <f>' B2级比赛 '!AI53*2.5</f>
        <v>47.261190625</v>
      </c>
      <c r="AJ53" s="12">
        <f>' B2级比赛 '!AJ53*2.5</f>
        <v>45.9108708928571</v>
      </c>
      <c r="AK53" s="12">
        <f>' B2级比赛 '!AK53*2.5</f>
        <v>44.6355689236111</v>
      </c>
      <c r="AL53" s="12">
        <f>' B2级比赛 '!AL53*2.5</f>
        <v>43.4292021959459</v>
      </c>
      <c r="AM53" s="12">
        <f>' B2级比赛 '!AM53*2.5</f>
        <v>42.2863284539474</v>
      </c>
      <c r="AN53" s="12">
        <f>' B2级比赛 '!AN53*2.5</f>
        <v>41.2020636217949</v>
      </c>
      <c r="AO53" s="12">
        <f>' B2级比赛 '!AO53*2.5</f>
        <v>40.17201203125</v>
      </c>
      <c r="AP53" s="12">
        <f>' B2级比赛 '!AP53*2.5</f>
        <v>39.1922068597561</v>
      </c>
      <c r="AQ53" s="12">
        <f>' B2级比赛 '!AQ53*2.5</f>
        <v>36.0085261904762</v>
      </c>
      <c r="AR53" s="12">
        <f>' B2级比赛 '!AR53*2.5</f>
        <v>35.1711186046512</v>
      </c>
      <c r="AS53" s="12">
        <f>' B2级比赛 '!AS53*2.5</f>
        <v>34.371775</v>
      </c>
      <c r="AT53" s="12">
        <f>' B2级比赛 '!AT53*2.5</f>
        <v>33.6079577777778</v>
      </c>
      <c r="AU53" s="12">
        <f>' B2级比赛 '!AU53*2.5</f>
        <v>32.87735</v>
      </c>
      <c r="AV53" s="12">
        <f>' B2级比赛 '!AV53*2.5</f>
        <v>32.1778319148936</v>
      </c>
      <c r="AW53" s="12">
        <f>' B2级比赛 '!AW53*2.5</f>
        <v>31.5074604166667</v>
      </c>
      <c r="AX53" s="12">
        <f>' B2级比赛 '!AX53*2.5</f>
        <v>30.8644510204082</v>
      </c>
      <c r="AY53" s="12">
        <f>' B2级比赛 '!AY53*2.5</f>
        <v>30.247162</v>
      </c>
      <c r="AZ53" s="18">
        <f>' B2级比赛 '!AZ53*2.5</f>
        <v>29.6540803921569</v>
      </c>
      <c r="BA53" s="18">
        <f>' B2级比赛 '!BA53*2.5</f>
        <v>18.6557331414474</v>
      </c>
      <c r="BB53" s="18">
        <f>' B2级比赛 '!BB53*2.5</f>
        <v>14.0379774133663</v>
      </c>
      <c r="BC53" s="18">
        <f>' B2级比赛 '!BC53*2.5</f>
        <v>9.38964052152318</v>
      </c>
      <c r="BD53" s="18">
        <f>' B2级比赛 '!BD53*2.5</f>
        <v>7.05390904850746</v>
      </c>
      <c r="BE53" s="18">
        <f>' B2级比赛 '!BE53*2.5</f>
        <v>4.71041767026578</v>
      </c>
      <c r="BF53" s="18">
        <f>' B2级比赛 '!BF53*2.5</f>
        <v>3.53574992206982</v>
      </c>
      <c r="BG53" s="18">
        <f>' B2级比赛 '!BG53*2.5</f>
        <v>2.83001141467066</v>
      </c>
      <c r="BH53" s="18">
        <f>' B2级比赛 '!BH53*2.5</f>
        <v>1.88793038448735</v>
      </c>
      <c r="BI53" s="21">
        <f>' B2级比赛 '!BI53*2.5</f>
        <v>12017.6680464675</v>
      </c>
      <c r="BJ53" s="20">
        <f>' B2级比赛 '!BJ53*2.5</f>
        <v>4.00588934882251</v>
      </c>
      <c r="BK53" s="18"/>
      <c r="BL53" s="18"/>
      <c r="BM53" s="18"/>
      <c r="BN53" s="23"/>
      <c r="BO53" s="23"/>
      <c r="BP53" s="23"/>
      <c r="BQ53" s="23"/>
      <c r="BR53" s="23"/>
      <c r="BS53" s="23"/>
      <c r="BT53" s="23"/>
      <c r="BU53" s="2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</row>
    <row r="54" spans="1:109">
      <c r="A54" s="6" t="s">
        <v>116</v>
      </c>
      <c r="B54" s="12">
        <f>' B2级比赛 '!B54*2.5</f>
        <v>1087.007384375</v>
      </c>
      <c r="C54" s="12">
        <f>' B2级比赛 '!C54*2.5</f>
        <v>989.17671978125</v>
      </c>
      <c r="D54" s="15">
        <f>' B2级比赛 '!D54*2.5</f>
        <v>869.6059075</v>
      </c>
      <c r="E54" s="15">
        <f>' B2级比赛 '!E54*2.5</f>
        <v>722.859910609375</v>
      </c>
      <c r="F54" s="15">
        <f>' B2级比赛 '!F54*2.5</f>
        <v>413.0628060625</v>
      </c>
      <c r="G54" s="15">
        <f>' B2级比赛 '!G54*2.5</f>
        <v>344.219005052083</v>
      </c>
      <c r="H54" s="15">
        <f>' B2级比赛 '!H54*2.5</f>
        <v>295.044861473214</v>
      </c>
      <c r="I54" s="15">
        <f>' B2级比赛 '!I54*2.5</f>
        <v>258.164253789062</v>
      </c>
      <c r="J54" s="15">
        <f>' B2级比赛 '!J54*2.5</f>
        <v>229.479336701389</v>
      </c>
      <c r="K54" s="15">
        <f>' B2级比赛 '!K54*2.5</f>
        <v>206.53140303125</v>
      </c>
      <c r="L54" s="15">
        <f>' B2级比赛 '!L54*2.5</f>
        <v>187.7558209375</v>
      </c>
      <c r="M54" s="15">
        <f>' B2级比赛 '!M54*2.5</f>
        <v>172.109502526042</v>
      </c>
      <c r="N54" s="15">
        <f>' B2级比赛 '!N54*2.5</f>
        <v>158.870310024038</v>
      </c>
      <c r="O54" s="15">
        <f>' B2级比赛 '!O54*2.5</f>
        <v>147.522430736607</v>
      </c>
      <c r="P54" s="12">
        <f>' B2级比赛 '!P54*2.5</f>
        <v>137.687602020833</v>
      </c>
      <c r="Q54" s="12">
        <f>' B2级比赛 '!Q54*2.5</f>
        <v>129.082126894531</v>
      </c>
      <c r="R54" s="12">
        <f>' B2级比赛 '!R54*2.5</f>
        <v>121.489060606618</v>
      </c>
      <c r="S54" s="12">
        <f>' B2级比赛 '!S54*2.5</f>
        <v>114.739668350694</v>
      </c>
      <c r="T54" s="12">
        <f>' B2级比赛 '!T54*2.5</f>
        <v>108.7007384375</v>
      </c>
      <c r="U54" s="12">
        <f>' B2级比赛 '!U54*2.5</f>
        <v>103.265701515625</v>
      </c>
      <c r="V54" s="12">
        <f>' B2级比赛 '!V54*2.5</f>
        <v>98.3482871577381</v>
      </c>
      <c r="W54" s="12">
        <f>' B2级比赛 '!W54*2.5</f>
        <v>93.87791046875</v>
      </c>
      <c r="X54" s="12">
        <f>' B2级比赛 '!X54*2.5</f>
        <v>89.7962621875</v>
      </c>
      <c r="Y54" s="12">
        <f>' B2级比赛 '!Y54*2.5</f>
        <v>86.0547512630208</v>
      </c>
      <c r="Z54" s="12">
        <f>' B2级比赛 '!Z54*2.5</f>
        <v>82.6125612125</v>
      </c>
      <c r="AA54" s="12">
        <f>' B2级比赛 '!AA54*2.5</f>
        <v>79.4351550120192</v>
      </c>
      <c r="AB54" s="12">
        <f>' B2级比赛 '!AB54*2.5</f>
        <v>76.4931122337963</v>
      </c>
      <c r="AC54" s="12">
        <f>' B2级比赛 '!AC54*2.5</f>
        <v>73.7612153683035</v>
      </c>
      <c r="AD54" s="12">
        <f>' B2级比赛 '!AD54*2.5</f>
        <v>71.2177251831896</v>
      </c>
      <c r="AE54" s="12">
        <f>' B2级比赛 '!AE54*2.5</f>
        <v>68.8438010104166</v>
      </c>
      <c r="AF54" s="12">
        <f>' B2级比赛 '!AF54*2.5</f>
        <v>66.6230332358871</v>
      </c>
      <c r="AG54" s="12">
        <f>' B2级比赛 '!AG54*2.5</f>
        <v>64.5410634472656</v>
      </c>
      <c r="AH54" s="12">
        <f>' B2级比赛 '!AH54*2.5</f>
        <v>62.5852736458333</v>
      </c>
      <c r="AI54" s="12">
        <f>' B2级比赛 '!AI54*2.5</f>
        <v>60.7445303033088</v>
      </c>
      <c r="AJ54" s="12">
        <f>' B2级比赛 '!AJ54*2.5</f>
        <v>59.0089722946428</v>
      </c>
      <c r="AK54" s="12">
        <f>' B2级比赛 '!AK54*2.5</f>
        <v>57.3698341753472</v>
      </c>
      <c r="AL54" s="12">
        <f>' B2级比赛 '!AL54*2.5</f>
        <v>55.819298116554</v>
      </c>
      <c r="AM54" s="12">
        <f>' B2级比赛 '!AM54*2.5</f>
        <v>54.35036921875</v>
      </c>
      <c r="AN54" s="12">
        <f>' B2级比赛 '!AN54*2.5</f>
        <v>52.9567700080128</v>
      </c>
      <c r="AO54" s="12">
        <f>' B2级比赛 '!AO54*2.5</f>
        <v>51.6328507578125</v>
      </c>
      <c r="AP54" s="12">
        <f>' B2级比赛 '!AP54*2.5</f>
        <v>50.3735129344512</v>
      </c>
      <c r="AQ54" s="12">
        <f>' B2级比赛 '!AQ54*2.5</f>
        <v>49.174143578869</v>
      </c>
      <c r="AR54" s="12">
        <f>' B2级比赛 '!AR54*2.5</f>
        <v>48.0305588444767</v>
      </c>
      <c r="AS54" s="12">
        <f>' B2级比赛 '!AS54*2.5</f>
        <v>46.938955234375</v>
      </c>
      <c r="AT54" s="12">
        <f>' B2级比赛 '!AT54*2.5</f>
        <v>45.8958673402778</v>
      </c>
      <c r="AU54" s="12">
        <f>' B2级比赛 '!AU54*2.5</f>
        <v>44.89813109375</v>
      </c>
      <c r="AV54" s="12">
        <f>' B2级比赛 '!AV54*2.5</f>
        <v>43.9428517087766</v>
      </c>
      <c r="AW54" s="12">
        <f>' B2级比赛 '!AW54*2.5</f>
        <v>43.0273756315104</v>
      </c>
      <c r="AX54" s="12">
        <f>' B2级比赛 '!AX54*2.5</f>
        <v>42.1492659247449</v>
      </c>
      <c r="AY54" s="12">
        <f>' B2级比赛 '!AY54*2.5</f>
        <v>41.30628060625</v>
      </c>
      <c r="AZ54" s="18">
        <f>' B2级比赛 '!AZ54*2.5</f>
        <v>40.4963535355392</v>
      </c>
      <c r="BA54" s="18">
        <f>' B2级比赛 '!BA54*2.5</f>
        <v>27.175184609375</v>
      </c>
      <c r="BB54" s="18">
        <f>' B2级比赛 '!BB54*2.5</f>
        <v>20.4486537654703</v>
      </c>
      <c r="BC54" s="18">
        <f>' B2级比赛 '!BC54*2.5</f>
        <v>13.6775763596854</v>
      </c>
      <c r="BD54" s="18">
        <f>' B2级比赛 '!BD54*2.5</f>
        <v>10.2751941806592</v>
      </c>
      <c r="BE54" s="18">
        <f>' B2级比赛 '!BE54*2.5</f>
        <v>6.86150840635382</v>
      </c>
      <c r="BF54" s="18">
        <f>' B2级比赛 '!BF54*2.5</f>
        <v>4.87933489245636</v>
      </c>
      <c r="BG54" s="18">
        <f>' B2级比赛 '!BG54*2.5</f>
        <v>3.90541575224551</v>
      </c>
      <c r="BH54" s="18">
        <f>' B2级比赛 '!BH54*2.5</f>
        <v>2.60534393059254</v>
      </c>
      <c r="BI54" s="18">
        <f>' B2级比赛 '!BI54*2.5</f>
        <v>1.84606648695055</v>
      </c>
      <c r="BJ54" s="21">
        <f>' B2级比赛 '!BJ54*2.5</f>
        <v>16808.6111416356</v>
      </c>
      <c r="BK54" s="20">
        <f>' B2级比赛 '!BK54*2.5</f>
        <v>4.002050271818</v>
      </c>
      <c r="BL54" s="18"/>
      <c r="BM54" s="18"/>
      <c r="BN54" s="23"/>
      <c r="BO54" s="23"/>
      <c r="BP54" s="23"/>
      <c r="BQ54" s="23"/>
      <c r="BR54" s="23"/>
      <c r="BS54" s="23"/>
      <c r="BT54" s="23"/>
      <c r="BU54" s="2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</row>
    <row r="55" spans="1:109">
      <c r="A55" s="11" t="s">
        <v>117</v>
      </c>
      <c r="B55" s="12">
        <f>' B2级比赛 '!B55*2.5</f>
        <v>1250.05849203125</v>
      </c>
      <c r="C55" s="12">
        <f>' B2级比赛 '!C55*2.5</f>
        <v>1137.55322774844</v>
      </c>
      <c r="D55" s="15">
        <f>' B2级比赛 '!D55*2.5</f>
        <v>1000.046793625</v>
      </c>
      <c r="E55" s="15">
        <f>' B2级比赛 '!E55*2.5</f>
        <v>918.792991642968</v>
      </c>
      <c r="F55" s="15">
        <f>' B2级比赛 '!F55*2.5</f>
        <v>600.028076175</v>
      </c>
      <c r="G55" s="15">
        <f>' B2级比赛 '!G55*2.5</f>
        <v>500.0233968125</v>
      </c>
      <c r="H55" s="15">
        <f>' B2级比赛 '!H55*2.5</f>
        <v>428.591482982143</v>
      </c>
      <c r="I55" s="15">
        <f>' B2级比赛 '!I55*2.5</f>
        <v>375.017547609375</v>
      </c>
      <c r="J55" s="15">
        <f>' B2级比赛 '!J55*2.5</f>
        <v>333.348931208333</v>
      </c>
      <c r="K55" s="15">
        <f>' B2级比赛 '!K55*2.5</f>
        <v>300.0140380875</v>
      </c>
      <c r="L55" s="15">
        <f>' B2级比赛 '!L55*2.5</f>
        <v>272.740034625</v>
      </c>
      <c r="M55" s="15">
        <f>' B2级比赛 '!M55*2.5</f>
        <v>250.01169840625</v>
      </c>
      <c r="N55" s="15">
        <f>' B2级比赛 '!N55*2.5</f>
        <v>230.780029298077</v>
      </c>
      <c r="O55" s="15">
        <f>' B2级比赛 '!O55*2.5</f>
        <v>214.295741491071</v>
      </c>
      <c r="P55" s="12">
        <f>' B2级比赛 '!P55*2.5</f>
        <v>200.009358725</v>
      </c>
      <c r="Q55" s="12">
        <f>' B2级比赛 '!Q55*2.5</f>
        <v>187.508773804687</v>
      </c>
      <c r="R55" s="12">
        <f>' B2级比赛 '!R55*2.5</f>
        <v>176.478845933823</v>
      </c>
      <c r="S55" s="12">
        <f>' B2级比赛 '!S55*2.5</f>
        <v>166.674465604167</v>
      </c>
      <c r="T55" s="12">
        <f>' B2级比赛 '!T55*2.5</f>
        <v>157.90212530921</v>
      </c>
      <c r="U55" s="12">
        <f>' B2级比赛 '!U55*2.5</f>
        <v>150.00701904375</v>
      </c>
      <c r="V55" s="12">
        <f>' B2级比赛 '!V55*2.5</f>
        <v>142.863827660714</v>
      </c>
      <c r="W55" s="12">
        <f>' B2级比赛 '!W55*2.5</f>
        <v>136.3700173125</v>
      </c>
      <c r="X55" s="12">
        <f>' B2级比赛 '!X55*2.5</f>
        <v>130.440886125</v>
      </c>
      <c r="Y55" s="12">
        <f>' B2级比赛 '!Y55*2.5</f>
        <v>125.005849203125</v>
      </c>
      <c r="Z55" s="12">
        <f>' B2级比赛 '!Z55*2.5</f>
        <v>120.005615235</v>
      </c>
      <c r="AA55" s="12">
        <f>' B2级比赛 '!AA55*2.5</f>
        <v>115.390014649038</v>
      </c>
      <c r="AB55" s="12">
        <f>' B2级比赛 '!AB55*2.5</f>
        <v>111.116310402778</v>
      </c>
      <c r="AC55" s="12">
        <f>' B2级比赛 '!AC55*2.5</f>
        <v>107.147870745536</v>
      </c>
      <c r="AD55" s="12">
        <f>' B2级比赛 '!AD55*2.5</f>
        <v>103.453116581897</v>
      </c>
      <c r="AE55" s="12">
        <f>' B2级比赛 '!AE55*2.5</f>
        <v>100.0046793625</v>
      </c>
      <c r="AF55" s="12">
        <f>' B2级比赛 '!AF55*2.5</f>
        <v>96.7787219637096</v>
      </c>
      <c r="AG55" s="12">
        <f>' B2级比赛 '!AG55*2.5</f>
        <v>93.7543869023437</v>
      </c>
      <c r="AH55" s="12">
        <f>' B2级比赛 '!AH55*2.5</f>
        <v>90.913344875</v>
      </c>
      <c r="AI55" s="12">
        <f>' B2级比赛 '!AI55*2.5</f>
        <v>88.2394229669117</v>
      </c>
      <c r="AJ55" s="12">
        <f>' B2级比赛 '!AJ55*2.5</f>
        <v>85.7182965964285</v>
      </c>
      <c r="AK55" s="12">
        <f>' B2级比赛 '!AK55*2.5</f>
        <v>83.3372328020833</v>
      </c>
      <c r="AL55" s="12">
        <f>' B2级比赛 '!AL55*2.5</f>
        <v>81.0848751587837</v>
      </c>
      <c r="AM55" s="12">
        <f>' B2级比赛 '!AM55*2.5</f>
        <v>78.9510626546052</v>
      </c>
      <c r="AN55" s="12">
        <f>' B2级比赛 '!AN55*2.5</f>
        <v>76.9266764326923</v>
      </c>
      <c r="AO55" s="12">
        <f>' B2级比赛 '!AO55*2.5</f>
        <v>75.003509521875</v>
      </c>
      <c r="AP55" s="12">
        <f>' B2级比赛 '!AP55*2.5</f>
        <v>73.1741556310975</v>
      </c>
      <c r="AQ55" s="12">
        <f>' B2级比赛 '!AQ55*2.5</f>
        <v>71.4319138303571</v>
      </c>
      <c r="AR55" s="12">
        <f>' B2级比赛 '!AR55*2.5</f>
        <v>69.7707065319767</v>
      </c>
      <c r="AS55" s="12">
        <f>' B2级比赛 '!AS55*2.5</f>
        <v>68.18500865625</v>
      </c>
      <c r="AT55" s="12">
        <f>' B2级比赛 '!AT55*2.5</f>
        <v>66.6697862416666</v>
      </c>
      <c r="AU55" s="12">
        <f>' B2级比赛 '!AU55*2.5</f>
        <v>65.2204430625</v>
      </c>
      <c r="AV55" s="12">
        <f>' B2级比赛 '!AV55*2.5</f>
        <v>63.8327740611702</v>
      </c>
      <c r="AW55" s="12">
        <f>' B2级比赛 '!AW55*2.5</f>
        <v>62.5029246015625</v>
      </c>
      <c r="AX55" s="12">
        <f>' B2级比赛 '!AX55*2.5</f>
        <v>61.2273547117347</v>
      </c>
      <c r="AY55" s="12">
        <f>' B2级比赛 '!AY55*2.5</f>
        <v>60.0028076175</v>
      </c>
      <c r="AZ55" s="18">
        <f>' B2级比赛 '!AZ55*2.5</f>
        <v>58.8262819779412</v>
      </c>
      <c r="BA55" s="18">
        <f>' B2级比赛 '!BA55*2.5</f>
        <v>39.4755313273026</v>
      </c>
      <c r="BB55" s="18">
        <f>' B2级比赛 '!BB55*2.5</f>
        <v>29.7043602066832</v>
      </c>
      <c r="BC55" s="18">
        <f>' B2级比赛 '!BC55*2.5</f>
        <v>19.868479343543</v>
      </c>
      <c r="BD55" s="18">
        <f>' B2级比赛 '!BD55*2.5</f>
        <v>14.9260715466418</v>
      </c>
      <c r="BE55" s="18">
        <f>' B2级比赛 '!BE55*2.5</f>
        <v>9.96724379028239</v>
      </c>
      <c r="BF55" s="18">
        <f>' B2级比赛 '!BF55*2.5</f>
        <v>6.54644098071228</v>
      </c>
      <c r="BG55" s="18">
        <f>' B2级比赛 '!BG55*2.5</f>
        <v>5.23976613426272</v>
      </c>
      <c r="BH55" s="18">
        <f>' B2级比赛 '!BH55*2.5</f>
        <v>3.49550310687833</v>
      </c>
      <c r="BI55" s="18">
        <f>' B2级比赛 '!BI55*2.5</f>
        <v>2.62250033293269</v>
      </c>
      <c r="BJ55" s="18">
        <f>' B2级比赛 '!BJ55*2.5</f>
        <v>1.7489159448805</v>
      </c>
      <c r="BK55" s="21">
        <f>' B2级比赛 '!BK55*2.5</f>
        <v>24004.0950533598</v>
      </c>
      <c r="BL55" s="20">
        <f>' B2级比赛 '!BL55*2.5</f>
        <v>4.0006825088933</v>
      </c>
      <c r="BM55" s="18"/>
      <c r="BN55" s="23"/>
      <c r="BO55" s="23"/>
      <c r="BP55" s="23"/>
      <c r="BQ55" s="23"/>
      <c r="BR55" s="23"/>
      <c r="BS55" s="23"/>
      <c r="BT55" s="23"/>
      <c r="BU55" s="2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</row>
    <row r="56" s="2" customFormat="1" ht="21.6" spans="1:109">
      <c r="A56" s="16" t="s">
        <v>118</v>
      </c>
      <c r="B56" s="17">
        <f>' B2级比赛 '!B56*2.5</f>
        <v>1437.56726583594</v>
      </c>
      <c r="C56" s="17">
        <f>' B2级比赛 '!C56*2.5</f>
        <v>1308.1862119107</v>
      </c>
      <c r="D56" s="17">
        <f>' B2级比赛 '!D56*2.5</f>
        <v>1221.93217596055</v>
      </c>
      <c r="E56" s="17">
        <f>' B2级比赛 '!E56*2.5</f>
        <v>1106.92679469367</v>
      </c>
      <c r="F56" s="17">
        <f>' B2级比赛 '!F56*2.5</f>
        <v>805.037668868125</v>
      </c>
      <c r="G56" s="17">
        <f>' B2级比赛 '!G56*2.5</f>
        <v>670.864724056771</v>
      </c>
      <c r="H56" s="17">
        <f>' B2级比赛 '!H56*2.5</f>
        <v>575.026906334375</v>
      </c>
      <c r="I56" s="17">
        <f>' B2级比赛 '!I56*2.5</f>
        <v>503.148543042578</v>
      </c>
      <c r="J56" s="17">
        <f>' B2级比赛 '!J56*2.5</f>
        <v>447.24314937118</v>
      </c>
      <c r="K56" s="17">
        <f>' B2级比赛 '!K56*2.5</f>
        <v>402.518834434062</v>
      </c>
      <c r="L56" s="17">
        <f>' B2级比赛 '!L56*2.5</f>
        <v>365.926213121875</v>
      </c>
      <c r="M56" s="17">
        <f>' B2级比赛 '!M56*2.5</f>
        <v>335.432362028385</v>
      </c>
      <c r="N56" s="17">
        <f>' B2级比赛 '!N56*2.5</f>
        <v>309.629872641586</v>
      </c>
      <c r="O56" s="17">
        <f>' B2级比赛 '!O56*2.5</f>
        <v>287.513453167187</v>
      </c>
      <c r="P56" s="17">
        <f>' B2级比赛 '!P56*2.5</f>
        <v>268.345889622708</v>
      </c>
      <c r="Q56" s="17">
        <f>' B2级比赛 '!Q56*2.5</f>
        <v>251.574271521289</v>
      </c>
      <c r="R56" s="17">
        <f>' B2级比赛 '!R56*2.5</f>
        <v>236.775784961213</v>
      </c>
      <c r="S56" s="17">
        <f>' B2级比赛 '!S56*2.5</f>
        <v>223.62157468559</v>
      </c>
      <c r="T56" s="17">
        <f>' B2级比赛 '!T56*2.5</f>
        <v>211.852018123191</v>
      </c>
      <c r="U56" s="17">
        <f>' B2级比赛 '!U56*2.5</f>
        <v>201.259417217031</v>
      </c>
      <c r="V56" s="17">
        <f>' B2级比赛 '!V56*2.5</f>
        <v>191.675635444792</v>
      </c>
      <c r="W56" s="17">
        <f>' B2级比赛 '!W56*2.5</f>
        <v>182.963106560937</v>
      </c>
      <c r="X56" s="17">
        <f>' B2级比赛 '!X56*2.5</f>
        <v>175.008188884375</v>
      </c>
      <c r="Y56" s="17">
        <f>' B2级比赛 '!Y56*2.5</f>
        <v>167.716181014193</v>
      </c>
      <c r="Z56" s="17">
        <f>' B2级比赛 '!Z56*2.5</f>
        <v>161.007533773625</v>
      </c>
      <c r="AA56" s="17">
        <f>' B2级比赛 '!AA56*2.5</f>
        <v>154.814936320793</v>
      </c>
      <c r="AB56" s="17">
        <f>' B2级比赛 '!AB56*2.5</f>
        <v>149.081049790393</v>
      </c>
      <c r="AC56" s="17">
        <f>' B2级比赛 '!AC56*2.5</f>
        <v>143.756726583594</v>
      </c>
      <c r="AD56" s="17">
        <f>' B2级比赛 '!AD56*2.5</f>
        <v>138.799598080711</v>
      </c>
      <c r="AE56" s="17">
        <f>' B2级比赛 '!AE56*2.5</f>
        <v>134.172944811354</v>
      </c>
      <c r="AF56" s="17">
        <f>' B2级比赛 '!AF56*2.5</f>
        <v>129.84478530131</v>
      </c>
      <c r="AG56" s="17">
        <f>' B2级比赛 '!AG56*2.5</f>
        <v>125.787135760644</v>
      </c>
      <c r="AH56" s="17">
        <f>' B2级比赛 '!AH56*2.5</f>
        <v>121.975404373958</v>
      </c>
      <c r="AI56" s="17">
        <f>' B2级比赛 '!AI56*2.5</f>
        <v>118.387892480607</v>
      </c>
      <c r="AJ56" s="17">
        <f>' B2级比赛 '!AJ56*2.5</f>
        <v>115.005381266875</v>
      </c>
      <c r="AK56" s="17">
        <f>' B2级比赛 '!AK56*2.5</f>
        <v>111.810787342795</v>
      </c>
      <c r="AL56" s="17">
        <f>' B2级比赛 '!AL56*2.5</f>
        <v>108.788874171368</v>
      </c>
      <c r="AM56" s="17">
        <f>' B2级比赛 '!AM56*2.5</f>
        <v>105.926009061595</v>
      </c>
      <c r="AN56" s="17">
        <f>' B2级比赛 '!AN56*2.5</f>
        <v>103.209957547195</v>
      </c>
      <c r="AO56" s="17">
        <f>' B2级比赛 '!AO56*2.5</f>
        <v>100.629708608516</v>
      </c>
      <c r="AP56" s="17">
        <f>' B2级比赛 '!AP56*2.5</f>
        <v>98.1753254717225</v>
      </c>
      <c r="AQ56" s="17">
        <f>' B2级比赛 '!AQ56*2.5</f>
        <v>95.8378177223958</v>
      </c>
      <c r="AR56" s="17">
        <f>' B2级比赛 '!AR56*2.5</f>
        <v>93.6090312637354</v>
      </c>
      <c r="AS56" s="17">
        <f>' B2级比赛 '!AS56*2.5</f>
        <v>91.4815532804687</v>
      </c>
      <c r="AT56" s="17">
        <f>' B2级比赛 '!AT56*2.5</f>
        <v>89.4486298742361</v>
      </c>
      <c r="AU56" s="17">
        <f>' B2级比赛 '!AU56*2.5</f>
        <v>87.5040944421875</v>
      </c>
      <c r="AV56" s="17">
        <f>' B2级比赛 '!AV56*2.5</f>
        <v>85.6423051987367</v>
      </c>
      <c r="AW56" s="17">
        <f>' B2级比赛 '!AW56*2.5</f>
        <v>83.8580905070963</v>
      </c>
      <c r="AX56" s="17">
        <f>' B2级比赛 '!AX56*2.5</f>
        <v>82.1467009049107</v>
      </c>
      <c r="AY56" s="17">
        <f>' B2级比赛 '!AY56*2.5</f>
        <v>80.5037668868125</v>
      </c>
      <c r="AZ56" s="16">
        <f>' B2级比赛 '!AZ56*2.5</f>
        <v>78.9252616537377</v>
      </c>
      <c r="BA56" s="16">
        <f>' B2级比赛 '!BA56*2.5</f>
        <v>52.9630045307977</v>
      </c>
      <c r="BB56" s="16">
        <f>' B2级比赛 '!BB56*2.5</f>
        <v>39.8533499439666</v>
      </c>
      <c r="BC56" s="16">
        <f>' B2级比赛 '!BC56*2.5</f>
        <v>26.6568764525869</v>
      </c>
      <c r="BD56" s="16">
        <f>' B2级比赛 '!BD56*2.5</f>
        <v>20.0258126584111</v>
      </c>
      <c r="BE56" s="16">
        <f>' B2级比赛 '!BE56*2.5</f>
        <v>13.3727187519622</v>
      </c>
      <c r="BF56" s="16">
        <f>' B2级比赛 '!BF56*2.5</f>
        <v>10.0378761704255</v>
      </c>
      <c r="BG56" s="16">
        <f>' B2级比赛 '!BG56*2.5</f>
        <v>8.03430807253618</v>
      </c>
      <c r="BH56" s="16">
        <f>' B2级比赛 '!BH56*2.5</f>
        <v>5.35977143054677</v>
      </c>
      <c r="BI56" s="16">
        <f>' B2级比赛 '!BI56*2.5</f>
        <v>4.02116717716346</v>
      </c>
      <c r="BJ56" s="16">
        <f>' B2级比赛 '!BJ56*2.5</f>
        <v>2.39434921025306</v>
      </c>
      <c r="BK56" s="16">
        <f>' B2级比赛 '!BK56*2.5</f>
        <v>1.79606105176904</v>
      </c>
      <c r="BL56" s="25">
        <f>' B2级比赛 '!BL56*2.5</f>
        <v>34117.6501380989</v>
      </c>
      <c r="BM56" s="20" t="e">
        <f>' B2级比赛 '!#REF!*2.5</f>
        <v>#REF!</v>
      </c>
      <c r="BN56" s="23"/>
      <c r="BO56" s="23"/>
      <c r="BP56" s="23"/>
      <c r="BQ56" s="23"/>
      <c r="BR56" s="23"/>
      <c r="BS56" s="23"/>
      <c r="BT56" s="23"/>
      <c r="BU56" s="2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</row>
    <row r="57" ht="21.6" spans="1:109">
      <c r="A57" s="11" t="s">
        <v>119</v>
      </c>
      <c r="B57" s="12">
        <f>' B2级比赛 '!B57*2.5</f>
        <v>1581.32399241953</v>
      </c>
      <c r="C57" s="12">
        <f>' B2级比赛 '!C57*2.5</f>
        <v>1439.00483310177</v>
      </c>
      <c r="D57" s="15">
        <f>' B2级比赛 '!D57*2.5</f>
        <v>1344.1253935566</v>
      </c>
      <c r="E57" s="15">
        <f>' B2级比赛 '!E57*2.5</f>
        <v>1217.61947416304</v>
      </c>
      <c r="F57" s="15">
        <f>' B2级比赛 '!F57*2.5</f>
        <v>1075.30031484528</v>
      </c>
      <c r="G57" s="15">
        <f>' B2级比赛 '!G57*2.5</f>
        <v>948.794395451718</v>
      </c>
      <c r="H57" s="15">
        <f>' B2级比赛 '!H57*2.5</f>
        <v>813.252338958616</v>
      </c>
      <c r="I57" s="15">
        <f>' B2级比赛 '!I57*2.5</f>
        <v>711.595796588789</v>
      </c>
      <c r="J57" s="15">
        <f>' B2级比赛 '!J57*2.5</f>
        <v>632.529596967812</v>
      </c>
      <c r="K57" s="15">
        <f>' B2级比赛 '!K57*2.5</f>
        <v>569.276637271031</v>
      </c>
      <c r="L57" s="15">
        <f>' B2级比赛 '!L57*2.5</f>
        <v>517.524215700937</v>
      </c>
      <c r="M57" s="15">
        <f>' B2级比赛 '!M57*2.5</f>
        <v>474.397197725859</v>
      </c>
      <c r="N57" s="15">
        <f>' B2级比赛 '!N57*2.5</f>
        <v>437.905105593101</v>
      </c>
      <c r="O57" s="15">
        <f>' B2级比赛 '!O57*2.5</f>
        <v>406.626169479308</v>
      </c>
      <c r="P57" s="12">
        <f>' B2级比赛 '!P57*2.5</f>
        <v>379.517758180687</v>
      </c>
      <c r="Q57" s="12">
        <f>' B2级比赛 '!Q57*2.5</f>
        <v>355.797898294394</v>
      </c>
      <c r="R57" s="12">
        <f>' B2级比赛 '!R57*2.5</f>
        <v>334.86861015943</v>
      </c>
      <c r="S57" s="12">
        <f>' B2级比赛 '!S57*2.5</f>
        <v>316.264798483906</v>
      </c>
      <c r="T57" s="12">
        <f>' B2级比赛 '!T57*2.5</f>
        <v>299.619282774227</v>
      </c>
      <c r="U57" s="12">
        <f>' B2级比赛 '!U57*2.5</f>
        <v>284.638318635516</v>
      </c>
      <c r="V57" s="12">
        <f>' B2级比赛 '!V57*2.5</f>
        <v>271.084112986205</v>
      </c>
      <c r="W57" s="12">
        <f>' B2级比赛 '!W57*2.5</f>
        <v>258.762107850469</v>
      </c>
      <c r="X57" s="12">
        <f>' B2级比赛 '!X57*2.5</f>
        <v>247.511581422187</v>
      </c>
      <c r="Y57" s="12">
        <f>' B2级比赛 '!Y57*2.5</f>
        <v>237.19859886293</v>
      </c>
      <c r="Z57" s="12">
        <f>' B2级比赛 '!Z57*2.5</f>
        <v>221.385358938734</v>
      </c>
      <c r="AA57" s="12">
        <f>' B2级比赛 '!AA57*2.5</f>
        <v>212.870537441091</v>
      </c>
      <c r="AB57" s="12">
        <f>' B2级比赛 '!AB57*2.5</f>
        <v>204.986443461791</v>
      </c>
      <c r="AC57" s="12">
        <f>' B2级比赛 '!AC57*2.5</f>
        <v>197.665499052441</v>
      </c>
      <c r="AD57" s="12">
        <f>' B2级比赛 '!AD57*2.5</f>
        <v>190.849447360978</v>
      </c>
      <c r="AE57" s="12">
        <f>' B2级比赛 '!AE57*2.5</f>
        <v>184.487799115612</v>
      </c>
      <c r="AF57" s="12">
        <f>' B2级比赛 '!AF57*2.5</f>
        <v>178.536579789302</v>
      </c>
      <c r="AG57" s="12">
        <f>' B2级比赛 '!AG57*2.5</f>
        <v>172.957311670886</v>
      </c>
      <c r="AH57" s="12">
        <f>' B2级比赛 '!AH57*2.5</f>
        <v>167.716181014193</v>
      </c>
      <c r="AI57" s="12">
        <f>' B2级比赛 '!AI57*2.5</f>
        <v>162.783352160834</v>
      </c>
      <c r="AJ57" s="12">
        <f>' B2级比赛 '!AJ57*2.5</f>
        <v>158.132399241953</v>
      </c>
      <c r="AK57" s="12">
        <f>' B2级比赛 '!AK57*2.5</f>
        <v>153.739832596343</v>
      </c>
      <c r="AL57" s="12">
        <f>' B2级比赛 '!AL57*2.5</f>
        <v>149.584701985631</v>
      </c>
      <c r="AM57" s="12">
        <f>' B2级比赛 '!AM57*2.5</f>
        <v>145.648262459694</v>
      </c>
      <c r="AN57" s="12">
        <f>' B2级比赛 '!AN57*2.5</f>
        <v>141.913691627394</v>
      </c>
      <c r="AO57" s="12">
        <f>' B2级比赛 '!AO57*2.5</f>
        <v>138.365849336709</v>
      </c>
      <c r="AP57" s="12">
        <f>' B2级比赛 '!AP57*2.5</f>
        <v>134.991072523618</v>
      </c>
      <c r="AQ57" s="12">
        <f>' B2级比赛 '!AQ57*2.5</f>
        <v>131.776999368294</v>
      </c>
      <c r="AR57" s="12">
        <f>' B2级比赛 '!AR57*2.5</f>
        <v>128.712417987636</v>
      </c>
      <c r="AS57" s="12">
        <f>' B2级比赛 '!AS57*2.5</f>
        <v>125.787135760644</v>
      </c>
      <c r="AT57" s="12">
        <f>' B2级比赛 '!AT57*2.5</f>
        <v>122.991866077075</v>
      </c>
      <c r="AU57" s="12">
        <f>' B2级比赛 '!AU57*2.5</f>
        <v>120.318129858008</v>
      </c>
      <c r="AV57" s="12">
        <f>' B2级比赛 '!AV57*2.5</f>
        <v>117.758169648263</v>
      </c>
      <c r="AW57" s="12">
        <f>' B2级比赛 '!AW57*2.5</f>
        <v>115.304874447257</v>
      </c>
      <c r="AX57" s="12">
        <f>' B2级比赛 '!AX57*2.5</f>
        <v>112.951713744252</v>
      </c>
      <c r="AY57" s="12">
        <f>' B2级比赛 '!AY57*2.5</f>
        <v>110.692679469367</v>
      </c>
      <c r="AZ57" s="18">
        <f>' B2级比赛 '!AZ57*2.5</f>
        <v>108.522234773889</v>
      </c>
      <c r="BA57" s="18">
        <f>' B2级比赛 '!BA57*2.5</f>
        <v>72.8241312298468</v>
      </c>
      <c r="BB57" s="18">
        <f>' B2级比赛 '!BB57*2.5</f>
        <v>54.798356172954</v>
      </c>
      <c r="BC57" s="18">
        <f>' B2级比赛 '!BC57*2.5</f>
        <v>36.653205122307</v>
      </c>
      <c r="BD57" s="18">
        <f>' B2级比赛 '!BD57*2.5</f>
        <v>27.5354924053152</v>
      </c>
      <c r="BE57" s="18">
        <f>' B2级比赛 '!BE57*2.5</f>
        <v>18.387488283948</v>
      </c>
      <c r="BF57" s="18">
        <f>' B2级比赛 '!BF57*2.5</f>
        <v>13.8020797343351</v>
      </c>
      <c r="BG57" s="18">
        <f>' B2级比赛 '!BG57*2.5</f>
        <v>11.0471735997372</v>
      </c>
      <c r="BH57" s="18">
        <f>' B2级比赛 '!BH57*2.5</f>
        <v>7.36968571700181</v>
      </c>
      <c r="BI57" s="18">
        <f>' B2级比赛 '!BI57*2.5</f>
        <v>5.52910486859976</v>
      </c>
      <c r="BJ57" s="18">
        <f>' B2级比赛 '!BJ57*2.5</f>
        <v>3.68729778378971</v>
      </c>
      <c r="BK57" s="18">
        <f>' B2级比赛 '!BK57*2.5</f>
        <v>2.76593401972432</v>
      </c>
      <c r="BL57" s="18">
        <f>' B2级比赛 '!BL57*2.5</f>
        <v>1.79157000140833</v>
      </c>
      <c r="BM57" s="21" t="e">
        <f>' B2级比赛 '!#REF!*2.5</f>
        <v>#REF!</v>
      </c>
      <c r="BN57" s="23"/>
      <c r="BO57" s="23"/>
      <c r="BP57" s="23"/>
      <c r="BQ57" s="23"/>
      <c r="BR57" s="23"/>
      <c r="BS57" s="23"/>
      <c r="BT57" s="23"/>
      <c r="BU57" s="2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</row>
    <row r="58" s="4" customFormat="1" ht="21.6" spans="1:109">
      <c r="A58" s="11" t="s">
        <v>120</v>
      </c>
      <c r="B58" s="12">
        <f>' B2级比赛 '!B58*2.5</f>
        <v>1581.32399241953</v>
      </c>
      <c r="C58" s="12">
        <f>' B2级比赛 '!C58*2.5</f>
        <v>1439.00483310177</v>
      </c>
      <c r="D58" s="15">
        <f>' B2级比赛 '!D58*2.5</f>
        <v>1344.1253935566</v>
      </c>
      <c r="E58" s="15">
        <f>' B2级比赛 '!E58*2.5</f>
        <v>1217.61947416304</v>
      </c>
      <c r="F58" s="15">
        <f>' B2级比赛 '!F58*2.5</f>
        <v>1075.30031484528</v>
      </c>
      <c r="G58" s="15">
        <f>' B2级比赛 '!G58*2.5</f>
        <v>948.794395451718</v>
      </c>
      <c r="H58" s="15">
        <f>' B2级比赛 '!H58*2.5</f>
        <v>813.252338958616</v>
      </c>
      <c r="I58" s="15">
        <f>' B2级比赛 '!I58*2.5</f>
        <v>711.595796588789</v>
      </c>
      <c r="J58" s="15">
        <f>' B2级比赛 '!J58*2.5</f>
        <v>632.529596967812</v>
      </c>
      <c r="K58" s="15">
        <f>' B2级比赛 '!K58*2.5</f>
        <v>569.276637271031</v>
      </c>
      <c r="L58" s="15">
        <f>' B2级比赛 '!L58*2.5</f>
        <v>517.524215700937</v>
      </c>
      <c r="M58" s="15">
        <f>' B2级比赛 '!M58*2.5</f>
        <v>474.397197725859</v>
      </c>
      <c r="N58" s="15">
        <f>' B2级比赛 '!N58*2.5</f>
        <v>437.905105593101</v>
      </c>
      <c r="O58" s="15">
        <f>' B2级比赛 '!O58*2.5</f>
        <v>406.626169479308</v>
      </c>
      <c r="P58" s="12">
        <f>' B2级比赛 '!P58*2.5</f>
        <v>379.517758180687</v>
      </c>
      <c r="Q58" s="12">
        <f>' B2级比赛 '!Q58*2.5</f>
        <v>355.797898294394</v>
      </c>
      <c r="R58" s="12">
        <f>' B2级比赛 '!R58*2.5</f>
        <v>334.86861015943</v>
      </c>
      <c r="S58" s="12">
        <f>' B2级比赛 '!S58*2.5</f>
        <v>316.264798483906</v>
      </c>
      <c r="T58" s="12">
        <f>' B2级比赛 '!T58*2.5</f>
        <v>299.619282774227</v>
      </c>
      <c r="U58" s="12">
        <f>' B2级比赛 '!U58*2.5</f>
        <v>284.638318635516</v>
      </c>
      <c r="V58" s="12">
        <f>' B2级比赛 '!V58*2.5</f>
        <v>271.084112986205</v>
      </c>
      <c r="W58" s="12">
        <f>' B2级比赛 '!W58*2.5</f>
        <v>258.762107850469</v>
      </c>
      <c r="X58" s="12">
        <f>' B2级比赛 '!X58*2.5</f>
        <v>247.511581422187</v>
      </c>
      <c r="Y58" s="12">
        <f>' B2级比赛 '!Y58*2.5</f>
        <v>237.19859886293</v>
      </c>
      <c r="Z58" s="12">
        <f>' B2级比赛 '!Z58*2.5</f>
        <v>221.385358938734</v>
      </c>
      <c r="AA58" s="12">
        <f>' B2级比赛 '!AA58*2.5</f>
        <v>212.870537441091</v>
      </c>
      <c r="AB58" s="12">
        <f>' B2级比赛 '!AB58*2.5</f>
        <v>204.986443461791</v>
      </c>
      <c r="AC58" s="12">
        <f>' B2级比赛 '!AC58*2.5</f>
        <v>197.665499052441</v>
      </c>
      <c r="AD58" s="12">
        <f>' B2级比赛 '!AD58*2.5</f>
        <v>190.849447360978</v>
      </c>
      <c r="AE58" s="12">
        <f>' B2级比赛 '!AE58*2.5</f>
        <v>184.487799115612</v>
      </c>
      <c r="AF58" s="12">
        <f>' B2级比赛 '!AF58*2.5</f>
        <v>178.536579789302</v>
      </c>
      <c r="AG58" s="12">
        <f>' B2级比赛 '!AG58*2.5</f>
        <v>172.957311670886</v>
      </c>
      <c r="AH58" s="12">
        <f>' B2级比赛 '!AH58*2.5</f>
        <v>167.716181014193</v>
      </c>
      <c r="AI58" s="12">
        <f>' B2级比赛 '!AI58*2.5</f>
        <v>162.783352160834</v>
      </c>
      <c r="AJ58" s="12">
        <f>' B2级比赛 '!AJ58*2.5</f>
        <v>158.132399241953</v>
      </c>
      <c r="AK58" s="12">
        <f>' B2级比赛 '!AK58*2.5</f>
        <v>153.739832596343</v>
      </c>
      <c r="AL58" s="12">
        <f>' B2级比赛 '!AL58*2.5</f>
        <v>149.584701985631</v>
      </c>
      <c r="AM58" s="12">
        <f>' B2级比赛 '!AM58*2.5</f>
        <v>145.648262459694</v>
      </c>
      <c r="AN58" s="12">
        <f>' B2级比赛 '!AN58*2.5</f>
        <v>141.913691627394</v>
      </c>
      <c r="AO58" s="12">
        <f>' B2级比赛 '!AO58*2.5</f>
        <v>138.365849336709</v>
      </c>
      <c r="AP58" s="12">
        <f>' B2级比赛 '!AP58*2.5</f>
        <v>134.991072523618</v>
      </c>
      <c r="AQ58" s="12">
        <f>' B2级比赛 '!AQ58*2.5</f>
        <v>131.776999368294</v>
      </c>
      <c r="AR58" s="12">
        <f>' B2级比赛 '!AR58*2.5</f>
        <v>128.712417987636</v>
      </c>
      <c r="AS58" s="12">
        <f>' B2级比赛 '!AS58*2.5</f>
        <v>125.787135760644</v>
      </c>
      <c r="AT58" s="12">
        <f>' B2级比赛 '!AT58*2.5</f>
        <v>122.991866077075</v>
      </c>
      <c r="AU58" s="12">
        <f>' B2级比赛 '!AU58*2.5</f>
        <v>120.318129858008</v>
      </c>
      <c r="AV58" s="12">
        <f>' B2级比赛 '!AV58*2.5</f>
        <v>117.758169648263</v>
      </c>
      <c r="AW58" s="12">
        <f>' B2级比赛 '!AW58*2.5</f>
        <v>115.304874447257</v>
      </c>
      <c r="AX58" s="12">
        <f>' B2级比赛 '!AX58*2.5</f>
        <v>112.951713744252</v>
      </c>
      <c r="AY58" s="12">
        <f>' B2级比赛 '!AY58*2.5</f>
        <v>110.692679469367</v>
      </c>
      <c r="AZ58" s="18">
        <f>' B2级比赛 '!AZ58*2.5</f>
        <v>108.522234773889</v>
      </c>
      <c r="BA58" s="18">
        <f>' B2级比赛 '!BA58*2.5</f>
        <v>72.8241312298468</v>
      </c>
      <c r="BB58" s="18">
        <f>' B2级比赛 '!BB58*2.5</f>
        <v>54.798356172954</v>
      </c>
      <c r="BC58" s="18">
        <f>' B2级比赛 '!BC58*2.5</f>
        <v>36.653205122307</v>
      </c>
      <c r="BD58" s="18">
        <f>' B2级比赛 '!BD58*2.5</f>
        <v>27.5354924053152</v>
      </c>
      <c r="BE58" s="18">
        <f>' B2级比赛 '!BE58*2.5</f>
        <v>18.387488283948</v>
      </c>
      <c r="BF58" s="18">
        <f>' B2级比赛 '!BF58*2.5</f>
        <v>13.8020797343351</v>
      </c>
      <c r="BG58" s="18">
        <f>' B2级比赛 '!BG58*2.5</f>
        <v>11.0471735997372</v>
      </c>
      <c r="BH58" s="18">
        <f>' B2级比赛 '!BH58*2.5</f>
        <v>7.36968571700181</v>
      </c>
      <c r="BI58" s="18">
        <f>' B2级比赛 '!BI58*2.5</f>
        <v>5.52910486859976</v>
      </c>
      <c r="BJ58" s="18">
        <f>' B2级比赛 '!BJ58*2.5</f>
        <v>3.68729778378971</v>
      </c>
      <c r="BK58" s="18">
        <f>' B2级比赛 '!BK58*2.5</f>
        <v>2.76593401972432</v>
      </c>
      <c r="BL58" s="18">
        <f>' B2级比赛 '!BL58*2.5</f>
        <v>1.79157000140833</v>
      </c>
      <c r="BM58" s="18" t="e">
        <f>' B2级比赛 '!#REF!*2.5</f>
        <v>#REF!</v>
      </c>
      <c r="BN58" s="23"/>
      <c r="BO58" s="23"/>
      <c r="BP58" s="23"/>
      <c r="BQ58" s="23"/>
      <c r="BR58" s="23"/>
      <c r="BS58" s="23"/>
      <c r="BT58" s="23"/>
      <c r="BU58" s="23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</row>
    <row r="59" s="4" customFormat="1" spans="1:7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</row>
    <row r="60" s="4" customFormat="1" spans="1:7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</row>
    <row r="61" s="4" customFormat="1" spans="1:7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</row>
    <row r="62" s="4" customFormat="1" spans="1:7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</row>
    <row r="63" s="4" customFormat="1" spans="1:7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</row>
    <row r="64" s="4" customFormat="1" spans="1:7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</row>
    <row r="65" s="4" customFormat="1" spans="1:7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</row>
    <row r="66" s="4" customFormat="1" spans="1:7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</row>
    <row r="67" s="4" customFormat="1" spans="1:7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</row>
    <row r="68" s="4" customFormat="1" spans="1:7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</row>
    <row r="69" s="4" customFormat="1" spans="1:7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</row>
    <row r="70" s="4" customFormat="1" spans="1:7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</row>
    <row r="71" s="4" customFormat="1" spans="1:7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</row>
    <row r="72" s="4" customFormat="1" spans="1:7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</row>
    <row r="73" s="4" customFormat="1" spans="1:7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</row>
    <row r="74" s="4" customFormat="1" spans="1:7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</row>
    <row r="75" s="4" customFormat="1" spans="1:7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</row>
    <row r="76" s="4" customFormat="1" spans="1:7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</row>
    <row r="77" s="4" customFormat="1" spans="1:7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</row>
  </sheetData>
  <mergeCells count="1">
    <mergeCell ref="A1:H1"/>
  </mergeCells>
  <conditionalFormatting sqref="1:1048576">
    <cfRule type="cellIs" dxfId="3" priority="1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I77"/>
  <sheetViews>
    <sheetView tabSelected="1" topLeftCell="A29" workbookViewId="0">
      <selection activeCell="E31" sqref="E31"/>
    </sheetView>
  </sheetViews>
  <sheetFormatPr defaultColWidth="9" defaultRowHeight="10.8"/>
  <cols>
    <col min="1" max="7" width="9" style="5"/>
    <col min="8" max="8" width="9.75" style="5" customWidth="1"/>
    <col min="9" max="37" width="9" style="5"/>
    <col min="38" max="58" width="9" style="6"/>
    <col min="59" max="59" width="9" style="5"/>
    <col min="60" max="60" width="11.3796296296296" style="5" customWidth="1"/>
    <col min="61" max="61" width="12.1296296296296" style="5" customWidth="1"/>
    <col min="62" max="62" width="12.75" style="5" customWidth="1"/>
    <col min="63" max="63" width="11.8796296296296" style="5" customWidth="1"/>
    <col min="64" max="64" width="12" style="5" customWidth="1"/>
    <col min="65" max="16384" width="9" style="5"/>
  </cols>
  <sheetData>
    <row r="1" spans="1:8">
      <c r="A1" s="7" t="s">
        <v>124</v>
      </c>
      <c r="B1" s="7"/>
      <c r="C1" s="7"/>
      <c r="D1" s="7"/>
      <c r="E1" s="7"/>
      <c r="F1" s="7"/>
      <c r="G1" s="7"/>
      <c r="H1" s="7"/>
    </row>
    <row r="2" spans="1:1">
      <c r="A2" s="8"/>
    </row>
    <row r="3" s="1" customFormat="1" ht="21.6" spans="1:72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9" t="s">
        <v>30</v>
      </c>
      <c r="AE3" s="9" t="s">
        <v>31</v>
      </c>
      <c r="AF3" s="9" t="s">
        <v>32</v>
      </c>
      <c r="AG3" s="9" t="s">
        <v>33</v>
      </c>
      <c r="AH3" s="9" t="s">
        <v>34</v>
      </c>
      <c r="AI3" s="9" t="s">
        <v>35</v>
      </c>
      <c r="AJ3" s="9" t="s">
        <v>36</v>
      </c>
      <c r="AK3" s="9" t="s">
        <v>37</v>
      </c>
      <c r="AL3" s="9" t="s">
        <v>38</v>
      </c>
      <c r="AM3" s="9" t="s">
        <v>39</v>
      </c>
      <c r="AN3" s="9" t="s">
        <v>40</v>
      </c>
      <c r="AO3" s="9" t="s">
        <v>41</v>
      </c>
      <c r="AP3" s="9" t="s">
        <v>42</v>
      </c>
      <c r="AQ3" s="9" t="s">
        <v>43</v>
      </c>
      <c r="AR3" s="9" t="s">
        <v>44</v>
      </c>
      <c r="AS3" s="9" t="s">
        <v>45</v>
      </c>
      <c r="AT3" s="9" t="s">
        <v>46</v>
      </c>
      <c r="AU3" s="9" t="s">
        <v>47</v>
      </c>
      <c r="AV3" s="9" t="s">
        <v>48</v>
      </c>
      <c r="AW3" s="9" t="s">
        <v>49</v>
      </c>
      <c r="AX3" s="9" t="s">
        <v>50</v>
      </c>
      <c r="AY3" s="9" t="s">
        <v>51</v>
      </c>
      <c r="AZ3" s="9" t="s">
        <v>52</v>
      </c>
      <c r="BA3" s="9" t="s">
        <v>53</v>
      </c>
      <c r="BB3" s="9" t="s">
        <v>54</v>
      </c>
      <c r="BC3" s="9" t="s">
        <v>55</v>
      </c>
      <c r="BD3" s="9" t="s">
        <v>56</v>
      </c>
      <c r="BE3" s="9" t="s">
        <v>57</v>
      </c>
      <c r="BF3" s="9" t="s">
        <v>58</v>
      </c>
      <c r="BG3" s="9" t="s">
        <v>59</v>
      </c>
      <c r="BH3" s="9" t="s">
        <v>60</v>
      </c>
      <c r="BI3" s="9" t="s">
        <v>61</v>
      </c>
      <c r="BJ3" s="9" t="s">
        <v>62</v>
      </c>
      <c r="BK3" s="9" t="s">
        <v>63</v>
      </c>
      <c r="BL3" s="9" t="s">
        <v>64</v>
      </c>
      <c r="BM3" s="22"/>
      <c r="BN3" s="22"/>
      <c r="BO3" s="22"/>
      <c r="BP3" s="22"/>
      <c r="BQ3" s="22"/>
      <c r="BR3" s="22"/>
      <c r="BS3" s="22"/>
      <c r="BT3" s="22"/>
    </row>
    <row r="4" spans="1:72">
      <c r="A4" s="11" t="s">
        <v>66</v>
      </c>
      <c r="B4" s="12">
        <v>2</v>
      </c>
      <c r="C4" s="13">
        <v>2</v>
      </c>
      <c r="D4" s="14">
        <v>0.5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9"/>
      <c r="BN4" s="19"/>
      <c r="BO4" s="19"/>
      <c r="BP4" s="19"/>
      <c r="BQ4" s="19"/>
      <c r="BR4" s="19"/>
      <c r="BS4" s="19"/>
      <c r="BT4" s="19"/>
    </row>
    <row r="5" spans="1:72">
      <c r="A5" s="11" t="s">
        <v>67</v>
      </c>
      <c r="B5" s="12">
        <v>4</v>
      </c>
      <c r="C5" s="12">
        <f>B5*0.7</f>
        <v>2.8</v>
      </c>
      <c r="D5" s="13">
        <f>SUM(B5:C5)</f>
        <v>6.8</v>
      </c>
      <c r="E5" s="14">
        <f>D5/8</f>
        <v>0.85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9"/>
      <c r="BN5" s="19"/>
      <c r="BO5" s="19"/>
      <c r="BP5" s="19"/>
      <c r="BQ5" s="19"/>
      <c r="BR5" s="19"/>
      <c r="BS5" s="19"/>
      <c r="BT5" s="19"/>
    </row>
    <row r="6" spans="1:72">
      <c r="A6" s="11" t="s">
        <v>68</v>
      </c>
      <c r="B6" s="12">
        <v>6</v>
      </c>
      <c r="C6" s="12">
        <f t="shared" ref="C6:C59" si="0">B6*0.7</f>
        <v>4.2</v>
      </c>
      <c r="D6" s="15">
        <f>B6/2</f>
        <v>3</v>
      </c>
      <c r="E6" s="13">
        <f>SUM(B6:D6)</f>
        <v>13.2</v>
      </c>
      <c r="F6" s="14">
        <f>E6/11</f>
        <v>1.2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9"/>
      <c r="BN6" s="19"/>
      <c r="BO6" s="19"/>
      <c r="BP6" s="19"/>
      <c r="BQ6" s="19"/>
      <c r="BR6" s="19"/>
      <c r="BS6" s="19"/>
      <c r="BT6" s="19"/>
    </row>
    <row r="7" spans="1:72">
      <c r="A7" s="11" t="s">
        <v>69</v>
      </c>
      <c r="B7" s="12">
        <v>6.8</v>
      </c>
      <c r="C7" s="12">
        <f t="shared" si="0"/>
        <v>4.76</v>
      </c>
      <c r="D7" s="15">
        <f t="shared" ref="D7:D59" si="1">B7/2</f>
        <v>3.4</v>
      </c>
      <c r="E7" s="15">
        <f>B7*0.35</f>
        <v>2.38</v>
      </c>
      <c r="F7" s="13">
        <f>SUM(B7:E7)</f>
        <v>17.34</v>
      </c>
      <c r="G7" s="14">
        <f>F7/14</f>
        <v>1.23857142857143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9"/>
      <c r="BN7" s="19"/>
      <c r="BO7" s="19"/>
      <c r="BP7" s="19"/>
      <c r="BQ7" s="19"/>
      <c r="BR7" s="19"/>
      <c r="BS7" s="19"/>
      <c r="BT7" s="19"/>
    </row>
    <row r="8" spans="1:72">
      <c r="A8" s="11" t="s">
        <v>70</v>
      </c>
      <c r="B8" s="12">
        <v>8.2</v>
      </c>
      <c r="C8" s="12">
        <f t="shared" si="0"/>
        <v>5.74</v>
      </c>
      <c r="D8" s="15">
        <f t="shared" si="1"/>
        <v>4.1</v>
      </c>
      <c r="E8" s="15">
        <f t="shared" ref="E8:E59" si="2">B8*0.35</f>
        <v>2.87</v>
      </c>
      <c r="F8" s="15">
        <f>B8/5</f>
        <v>1.64</v>
      </c>
      <c r="G8" s="13">
        <f>SUM(B8:F8)</f>
        <v>22.55</v>
      </c>
      <c r="H8" s="14">
        <f>G8/18</f>
        <v>1.25277777777778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9"/>
      <c r="BN8" s="19"/>
      <c r="BO8" s="19"/>
      <c r="BP8" s="19"/>
      <c r="BQ8" s="19"/>
      <c r="BR8" s="19"/>
      <c r="BS8" s="19"/>
      <c r="BT8" s="19"/>
    </row>
    <row r="9" spans="1:72">
      <c r="A9" s="11" t="s">
        <v>71</v>
      </c>
      <c r="B9" s="12">
        <v>9.2</v>
      </c>
      <c r="C9" s="12">
        <f t="shared" si="0"/>
        <v>6.44</v>
      </c>
      <c r="D9" s="15">
        <f t="shared" si="1"/>
        <v>4.6</v>
      </c>
      <c r="E9" s="15">
        <f t="shared" si="2"/>
        <v>3.22</v>
      </c>
      <c r="F9" s="15">
        <f t="shared" ref="F9:F59" si="3">B9/5</f>
        <v>1.84</v>
      </c>
      <c r="G9" s="15">
        <f>B9/6</f>
        <v>1.53333333333333</v>
      </c>
      <c r="H9" s="13">
        <f>SUM(B9:G9)</f>
        <v>26.8333333333333</v>
      </c>
      <c r="I9" s="14">
        <f>H9/21</f>
        <v>1.27777777777778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9"/>
      <c r="BN9" s="19"/>
      <c r="BO9" s="19"/>
      <c r="BP9" s="19"/>
      <c r="BQ9" s="19"/>
      <c r="BR9" s="19"/>
      <c r="BS9" s="19"/>
      <c r="BT9" s="19"/>
    </row>
    <row r="10" spans="1:72">
      <c r="A10" s="11" t="s">
        <v>72</v>
      </c>
      <c r="B10" s="12">
        <v>10</v>
      </c>
      <c r="C10" s="12">
        <f t="shared" si="0"/>
        <v>7</v>
      </c>
      <c r="D10" s="15">
        <f t="shared" si="1"/>
        <v>5</v>
      </c>
      <c r="E10" s="15">
        <f t="shared" si="2"/>
        <v>3.5</v>
      </c>
      <c r="F10" s="15">
        <f t="shared" si="3"/>
        <v>2</v>
      </c>
      <c r="G10" s="15">
        <f t="shared" ref="G10:G59" si="4">B10/6</f>
        <v>1.66666666666667</v>
      </c>
      <c r="H10" s="15">
        <f>B10/7</f>
        <v>1.42857142857143</v>
      </c>
      <c r="I10" s="13">
        <f>SUM(B10:H10)</f>
        <v>30.5952380952381</v>
      </c>
      <c r="J10" s="14">
        <f>I10/24</f>
        <v>1.27480158730159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9"/>
      <c r="BN10" s="19"/>
      <c r="BO10" s="19"/>
      <c r="BP10" s="19"/>
      <c r="BQ10" s="19"/>
      <c r="BR10" s="19"/>
      <c r="BS10" s="19"/>
      <c r="BT10" s="19"/>
    </row>
    <row r="11" spans="1:72">
      <c r="A11" s="11" t="s">
        <v>73</v>
      </c>
      <c r="B11" s="12">
        <v>11.2</v>
      </c>
      <c r="C11" s="12">
        <f t="shared" si="0"/>
        <v>7.84</v>
      </c>
      <c r="D11" s="15">
        <f t="shared" si="1"/>
        <v>5.6</v>
      </c>
      <c r="E11" s="15">
        <f t="shared" si="2"/>
        <v>3.92</v>
      </c>
      <c r="F11" s="15">
        <f t="shared" si="3"/>
        <v>2.24</v>
      </c>
      <c r="G11" s="15">
        <f t="shared" si="4"/>
        <v>1.86666666666667</v>
      </c>
      <c r="H11" s="15">
        <f t="shared" ref="H11:H59" si="5">B11/7</f>
        <v>1.6</v>
      </c>
      <c r="I11" s="15">
        <f>B11/8</f>
        <v>1.4</v>
      </c>
      <c r="J11" s="13">
        <f>SUM(B11:I11)</f>
        <v>35.6666666666667</v>
      </c>
      <c r="K11" s="14">
        <f>J11/28</f>
        <v>1.27380952380952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9"/>
      <c r="BN11" s="19"/>
      <c r="BO11" s="19"/>
      <c r="BP11" s="19"/>
      <c r="BQ11" s="19"/>
      <c r="BR11" s="19"/>
      <c r="BS11" s="19"/>
      <c r="BT11" s="19"/>
    </row>
    <row r="12" spans="1:72">
      <c r="A12" s="11" t="s">
        <v>74</v>
      </c>
      <c r="B12" s="12">
        <v>12</v>
      </c>
      <c r="C12" s="12">
        <f t="shared" si="0"/>
        <v>8.4</v>
      </c>
      <c r="D12" s="15">
        <f t="shared" si="1"/>
        <v>6</v>
      </c>
      <c r="E12" s="15">
        <f t="shared" si="2"/>
        <v>4.2</v>
      </c>
      <c r="F12" s="15">
        <f t="shared" si="3"/>
        <v>2.4</v>
      </c>
      <c r="G12" s="15">
        <f t="shared" si="4"/>
        <v>2</v>
      </c>
      <c r="H12" s="15">
        <f t="shared" si="5"/>
        <v>1.71428571428571</v>
      </c>
      <c r="I12" s="15">
        <f t="shared" ref="I12:I59" si="6">B12/8</f>
        <v>1.5</v>
      </c>
      <c r="J12" s="15">
        <f>B12/9</f>
        <v>1.33333333333333</v>
      </c>
      <c r="K12" s="13">
        <f>SUM(B12:J12)</f>
        <v>39.547619047619</v>
      </c>
      <c r="L12" s="14">
        <f>K12/31</f>
        <v>1.27572964669739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9"/>
      <c r="BN12" s="19"/>
      <c r="BO12" s="19"/>
      <c r="BP12" s="19"/>
      <c r="BQ12" s="19"/>
      <c r="BR12" s="19"/>
      <c r="BS12" s="19"/>
      <c r="BT12" s="19"/>
    </row>
    <row r="13" spans="1:72">
      <c r="A13" s="11" t="s">
        <v>75</v>
      </c>
      <c r="B13" s="12">
        <v>12.8</v>
      </c>
      <c r="C13" s="12">
        <f t="shared" si="0"/>
        <v>8.96</v>
      </c>
      <c r="D13" s="15">
        <f t="shared" si="1"/>
        <v>6.4</v>
      </c>
      <c r="E13" s="15">
        <f t="shared" si="2"/>
        <v>4.48</v>
      </c>
      <c r="F13" s="15">
        <f t="shared" si="3"/>
        <v>2.56</v>
      </c>
      <c r="G13" s="15">
        <f t="shared" si="4"/>
        <v>2.13333333333333</v>
      </c>
      <c r="H13" s="15">
        <f t="shared" si="5"/>
        <v>1.82857142857143</v>
      </c>
      <c r="I13" s="15">
        <f t="shared" si="6"/>
        <v>1.6</v>
      </c>
      <c r="J13" s="15">
        <f t="shared" ref="J13:J59" si="7">B13/9</f>
        <v>1.42222222222222</v>
      </c>
      <c r="K13" s="15">
        <f>B13/10</f>
        <v>1.28</v>
      </c>
      <c r="L13" s="13">
        <f>SUM(B13:K13)</f>
        <v>43.464126984127</v>
      </c>
      <c r="M13" s="14">
        <f>L13/34</f>
        <v>1.27835667600373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9"/>
      <c r="BN13" s="19"/>
      <c r="BO13" s="19"/>
      <c r="BP13" s="19"/>
      <c r="BQ13" s="19"/>
      <c r="BR13" s="19"/>
      <c r="BS13" s="19"/>
      <c r="BT13" s="19"/>
    </row>
    <row r="14" spans="1:72">
      <c r="A14" s="11" t="s">
        <v>76</v>
      </c>
      <c r="B14" s="12">
        <v>14</v>
      </c>
      <c r="C14" s="12">
        <f t="shared" si="0"/>
        <v>9.8</v>
      </c>
      <c r="D14" s="15">
        <f t="shared" si="1"/>
        <v>7</v>
      </c>
      <c r="E14" s="15">
        <f t="shared" si="2"/>
        <v>4.9</v>
      </c>
      <c r="F14" s="15">
        <f t="shared" si="3"/>
        <v>2.8</v>
      </c>
      <c r="G14" s="15">
        <f t="shared" si="4"/>
        <v>2.33333333333333</v>
      </c>
      <c r="H14" s="15">
        <f t="shared" si="5"/>
        <v>2</v>
      </c>
      <c r="I14" s="15">
        <f t="shared" si="6"/>
        <v>1.75</v>
      </c>
      <c r="J14" s="15">
        <f t="shared" si="7"/>
        <v>1.55555555555556</v>
      </c>
      <c r="K14" s="15">
        <f t="shared" ref="K14:K59" si="8">B14/10</f>
        <v>1.4</v>
      </c>
      <c r="L14" s="15">
        <f>B14/11</f>
        <v>1.27272727272727</v>
      </c>
      <c r="M14" s="13">
        <f>SUM(B14:L14)</f>
        <v>48.8116161616162</v>
      </c>
      <c r="N14" s="14">
        <f>M14/38</f>
        <v>1.28451621477937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9"/>
      <c r="BN14" s="19"/>
      <c r="BO14" s="19"/>
      <c r="BP14" s="19"/>
      <c r="BQ14" s="19"/>
      <c r="BR14" s="19"/>
      <c r="BS14" s="19"/>
      <c r="BT14" s="19"/>
    </row>
    <row r="15" spans="1:73">
      <c r="A15" s="11" t="s">
        <v>77</v>
      </c>
      <c r="B15" s="12">
        <v>15</v>
      </c>
      <c r="C15" s="12">
        <f t="shared" si="0"/>
        <v>10.5</v>
      </c>
      <c r="D15" s="15">
        <f t="shared" si="1"/>
        <v>7.5</v>
      </c>
      <c r="E15" s="15">
        <f t="shared" si="2"/>
        <v>5.25</v>
      </c>
      <c r="F15" s="15">
        <f t="shared" si="3"/>
        <v>3</v>
      </c>
      <c r="G15" s="15">
        <f t="shared" si="4"/>
        <v>2.5</v>
      </c>
      <c r="H15" s="15">
        <f t="shared" si="5"/>
        <v>2.14285714285714</v>
      </c>
      <c r="I15" s="15">
        <f t="shared" si="6"/>
        <v>1.875</v>
      </c>
      <c r="J15" s="15">
        <f t="shared" si="7"/>
        <v>1.66666666666667</v>
      </c>
      <c r="K15" s="15">
        <f t="shared" si="8"/>
        <v>1.5</v>
      </c>
      <c r="L15" s="15">
        <f t="shared" ref="L15:L59" si="9">B15/11</f>
        <v>1.36363636363636</v>
      </c>
      <c r="M15" s="15">
        <f>B15/12</f>
        <v>1.25</v>
      </c>
      <c r="N15" s="13">
        <f>SUM(B15:M15)</f>
        <v>53.5481601731602</v>
      </c>
      <c r="O15" s="14">
        <f>N15/41</f>
        <v>1.30605268715025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9"/>
      <c r="BN15" s="19"/>
      <c r="BO15" s="19"/>
      <c r="BP15" s="19"/>
      <c r="BQ15" s="19"/>
      <c r="BR15" s="19"/>
      <c r="BS15" s="19"/>
      <c r="BT15" s="19"/>
      <c r="BU15" s="24"/>
    </row>
    <row r="16" spans="1:72">
      <c r="A16" s="11" t="s">
        <v>78</v>
      </c>
      <c r="B16" s="12">
        <v>16</v>
      </c>
      <c r="C16" s="12">
        <f t="shared" si="0"/>
        <v>11.2</v>
      </c>
      <c r="D16" s="15">
        <f t="shared" si="1"/>
        <v>8</v>
      </c>
      <c r="E16" s="15">
        <f t="shared" si="2"/>
        <v>5.6</v>
      </c>
      <c r="F16" s="15">
        <f t="shared" si="3"/>
        <v>3.2</v>
      </c>
      <c r="G16" s="15">
        <f t="shared" si="4"/>
        <v>2.66666666666667</v>
      </c>
      <c r="H16" s="15">
        <f t="shared" si="5"/>
        <v>2.28571428571429</v>
      </c>
      <c r="I16" s="15">
        <f t="shared" si="6"/>
        <v>2</v>
      </c>
      <c r="J16" s="15">
        <f t="shared" si="7"/>
        <v>1.77777777777778</v>
      </c>
      <c r="K16" s="15">
        <f t="shared" si="8"/>
        <v>1.6</v>
      </c>
      <c r="L16" s="15">
        <f t="shared" si="9"/>
        <v>1.45454545454545</v>
      </c>
      <c r="M16" s="15">
        <f t="shared" ref="M16:M59" si="10">B16/12</f>
        <v>1.33333333333333</v>
      </c>
      <c r="N16" s="15">
        <f>B16/13</f>
        <v>1.23076923076923</v>
      </c>
      <c r="O16" s="13">
        <f>SUM(B16:N16)</f>
        <v>58.3488067488068</v>
      </c>
      <c r="P16" s="14">
        <f>O16/44</f>
        <v>1.32610924429106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9"/>
      <c r="BN16" s="19"/>
      <c r="BO16" s="19"/>
      <c r="BP16" s="19"/>
      <c r="BQ16" s="19"/>
      <c r="BR16" s="19"/>
      <c r="BS16" s="19"/>
      <c r="BT16" s="19"/>
    </row>
    <row r="17" spans="1:72">
      <c r="A17" s="11" t="s">
        <v>79</v>
      </c>
      <c r="B17" s="12">
        <v>17</v>
      </c>
      <c r="C17" s="12">
        <f t="shared" si="0"/>
        <v>11.9</v>
      </c>
      <c r="D17" s="15">
        <f t="shared" si="1"/>
        <v>8.5</v>
      </c>
      <c r="E17" s="15">
        <f t="shared" si="2"/>
        <v>5.95</v>
      </c>
      <c r="F17" s="15">
        <f t="shared" si="3"/>
        <v>3.4</v>
      </c>
      <c r="G17" s="15">
        <f t="shared" si="4"/>
        <v>2.83333333333333</v>
      </c>
      <c r="H17" s="15">
        <f t="shared" si="5"/>
        <v>2.42857142857143</v>
      </c>
      <c r="I17" s="15">
        <f t="shared" si="6"/>
        <v>2.125</v>
      </c>
      <c r="J17" s="15">
        <f t="shared" si="7"/>
        <v>1.88888888888889</v>
      </c>
      <c r="K17" s="15">
        <f t="shared" si="8"/>
        <v>1.7</v>
      </c>
      <c r="L17" s="15">
        <f t="shared" si="9"/>
        <v>1.54545454545455</v>
      </c>
      <c r="M17" s="15">
        <f t="shared" si="10"/>
        <v>1.41666666666667</v>
      </c>
      <c r="N17" s="15">
        <f t="shared" ref="N17:N59" si="11">B17/13</f>
        <v>1.30769230769231</v>
      </c>
      <c r="O17" s="15">
        <f>B17/14</f>
        <v>1.21428571428571</v>
      </c>
      <c r="P17" s="13">
        <f>SUM(B17:O17)</f>
        <v>63.2098928848929</v>
      </c>
      <c r="Q17" s="14">
        <f>P17/48</f>
        <v>1.31687276843527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9"/>
      <c r="BN17" s="19"/>
      <c r="BO17" s="19"/>
      <c r="BP17" s="19"/>
      <c r="BQ17" s="19"/>
      <c r="BR17" s="19"/>
      <c r="BS17" s="19"/>
      <c r="BT17" s="19"/>
    </row>
    <row r="18" spans="1:72">
      <c r="A18" s="11" t="s">
        <v>80</v>
      </c>
      <c r="B18" s="12">
        <v>17.8</v>
      </c>
      <c r="C18" s="12">
        <f t="shared" si="0"/>
        <v>12.46</v>
      </c>
      <c r="D18" s="15">
        <f t="shared" si="1"/>
        <v>8.9</v>
      </c>
      <c r="E18" s="15">
        <f t="shared" si="2"/>
        <v>6.23</v>
      </c>
      <c r="F18" s="15">
        <f t="shared" si="3"/>
        <v>3.56</v>
      </c>
      <c r="G18" s="15">
        <f t="shared" si="4"/>
        <v>2.96666666666667</v>
      </c>
      <c r="H18" s="15">
        <f t="shared" si="5"/>
        <v>2.54285714285714</v>
      </c>
      <c r="I18" s="15">
        <f t="shared" si="6"/>
        <v>2.225</v>
      </c>
      <c r="J18" s="15">
        <f t="shared" si="7"/>
        <v>1.97777777777778</v>
      </c>
      <c r="K18" s="15">
        <f t="shared" si="8"/>
        <v>1.78</v>
      </c>
      <c r="L18" s="15">
        <f t="shared" si="9"/>
        <v>1.61818181818182</v>
      </c>
      <c r="M18" s="15">
        <f t="shared" si="10"/>
        <v>1.48333333333333</v>
      </c>
      <c r="N18" s="15">
        <f t="shared" si="11"/>
        <v>1.36923076923077</v>
      </c>
      <c r="O18" s="15">
        <f t="shared" ref="O18:O59" si="12">B18/14</f>
        <v>1.27142857142857</v>
      </c>
      <c r="P18" s="12">
        <f>B18/15</f>
        <v>1.18666666666667</v>
      </c>
      <c r="Q18" s="13">
        <f>SUM(B18:P18)</f>
        <v>67.3711427461428</v>
      </c>
      <c r="R18" s="14">
        <f>Q18/51</f>
        <v>1.32100279894398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9"/>
      <c r="BN18" s="19"/>
      <c r="BO18" s="19"/>
      <c r="BP18" s="19"/>
      <c r="BQ18" s="19"/>
      <c r="BR18" s="19"/>
      <c r="BS18" s="19"/>
      <c r="BT18" s="19"/>
    </row>
    <row r="19" spans="1:139">
      <c r="A19" s="11" t="s">
        <v>81</v>
      </c>
      <c r="B19" s="12">
        <v>18.5</v>
      </c>
      <c r="C19" s="12">
        <f t="shared" si="0"/>
        <v>12.95</v>
      </c>
      <c r="D19" s="15">
        <f t="shared" si="1"/>
        <v>9.25</v>
      </c>
      <c r="E19" s="15">
        <f t="shared" si="2"/>
        <v>6.475</v>
      </c>
      <c r="F19" s="15">
        <f t="shared" si="3"/>
        <v>3.7</v>
      </c>
      <c r="G19" s="15">
        <f t="shared" si="4"/>
        <v>3.08333333333333</v>
      </c>
      <c r="H19" s="15">
        <f t="shared" si="5"/>
        <v>2.64285714285714</v>
      </c>
      <c r="I19" s="15">
        <f t="shared" si="6"/>
        <v>2.3125</v>
      </c>
      <c r="J19" s="15">
        <f t="shared" si="7"/>
        <v>2.05555555555556</v>
      </c>
      <c r="K19" s="15">
        <f t="shared" si="8"/>
        <v>1.85</v>
      </c>
      <c r="L19" s="15">
        <f t="shared" si="9"/>
        <v>1.68181818181818</v>
      </c>
      <c r="M19" s="15">
        <f t="shared" si="10"/>
        <v>1.54166666666667</v>
      </c>
      <c r="N19" s="15">
        <f t="shared" si="11"/>
        <v>1.42307692307692</v>
      </c>
      <c r="O19" s="15">
        <f t="shared" si="12"/>
        <v>1.32142857142857</v>
      </c>
      <c r="P19" s="12">
        <f t="shared" ref="P19:P59" si="13">B19/15</f>
        <v>1.23333333333333</v>
      </c>
      <c r="Q19" s="12">
        <f>B19/16</f>
        <v>1.15625</v>
      </c>
      <c r="R19" s="13">
        <f>SUM(B19:Q19)</f>
        <v>71.1768197080697</v>
      </c>
      <c r="S19" s="14">
        <f>R19/54</f>
        <v>1.31808925385314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9"/>
      <c r="BN19" s="23"/>
      <c r="BO19" s="23"/>
      <c r="BP19" s="23"/>
      <c r="BQ19" s="23"/>
      <c r="BR19" s="23"/>
      <c r="BS19" s="23"/>
      <c r="BT19" s="2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</row>
    <row r="20" spans="1:139">
      <c r="A20" s="11" t="s">
        <v>82</v>
      </c>
      <c r="B20" s="12">
        <v>20</v>
      </c>
      <c r="C20" s="12">
        <f t="shared" si="0"/>
        <v>14</v>
      </c>
      <c r="D20" s="15">
        <f t="shared" si="1"/>
        <v>10</v>
      </c>
      <c r="E20" s="15">
        <f t="shared" si="2"/>
        <v>7</v>
      </c>
      <c r="F20" s="15">
        <f t="shared" si="3"/>
        <v>4</v>
      </c>
      <c r="G20" s="15">
        <f t="shared" si="4"/>
        <v>3.33333333333333</v>
      </c>
      <c r="H20" s="15">
        <f t="shared" si="5"/>
        <v>2.85714285714286</v>
      </c>
      <c r="I20" s="15">
        <f t="shared" si="6"/>
        <v>2.5</v>
      </c>
      <c r="J20" s="15">
        <f t="shared" si="7"/>
        <v>2.22222222222222</v>
      </c>
      <c r="K20" s="15">
        <f t="shared" si="8"/>
        <v>2</v>
      </c>
      <c r="L20" s="15">
        <f t="shared" si="9"/>
        <v>1.81818181818182</v>
      </c>
      <c r="M20" s="15">
        <f t="shared" si="10"/>
        <v>1.66666666666667</v>
      </c>
      <c r="N20" s="15">
        <f t="shared" si="11"/>
        <v>1.53846153846154</v>
      </c>
      <c r="O20" s="15">
        <f t="shared" si="12"/>
        <v>1.42857142857143</v>
      </c>
      <c r="P20" s="12">
        <f t="shared" si="13"/>
        <v>1.33333333333333</v>
      </c>
      <c r="Q20" s="12">
        <f t="shared" ref="Q20:Q59" si="14">B20/16</f>
        <v>1.25</v>
      </c>
      <c r="R20" s="12">
        <f>B20/17</f>
        <v>1.17647058823529</v>
      </c>
      <c r="S20" s="13">
        <f>SUM(B20:R20)</f>
        <v>78.1243837861485</v>
      </c>
      <c r="T20" s="14">
        <f>S20/58</f>
        <v>1.34697213424394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9"/>
      <c r="BN20" s="23"/>
      <c r="BO20" s="23"/>
      <c r="BP20" s="23"/>
      <c r="BQ20" s="23"/>
      <c r="BR20" s="23"/>
      <c r="BS20" s="23"/>
      <c r="BT20" s="2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</row>
    <row r="21" spans="1:139">
      <c r="A21" s="11" t="s">
        <v>83</v>
      </c>
      <c r="B21" s="12">
        <v>21</v>
      </c>
      <c r="C21" s="12">
        <f t="shared" si="0"/>
        <v>14.7</v>
      </c>
      <c r="D21" s="15">
        <f t="shared" si="1"/>
        <v>10.5</v>
      </c>
      <c r="E21" s="15">
        <f t="shared" si="2"/>
        <v>7.35</v>
      </c>
      <c r="F21" s="15">
        <f t="shared" si="3"/>
        <v>4.2</v>
      </c>
      <c r="G21" s="15">
        <f t="shared" si="4"/>
        <v>3.5</v>
      </c>
      <c r="H21" s="15">
        <f t="shared" si="5"/>
        <v>3</v>
      </c>
      <c r="I21" s="15">
        <f t="shared" si="6"/>
        <v>2.625</v>
      </c>
      <c r="J21" s="15">
        <f t="shared" si="7"/>
        <v>2.33333333333333</v>
      </c>
      <c r="K21" s="15">
        <f t="shared" si="8"/>
        <v>2.1</v>
      </c>
      <c r="L21" s="15">
        <f t="shared" si="9"/>
        <v>1.90909090909091</v>
      </c>
      <c r="M21" s="15">
        <f t="shared" si="10"/>
        <v>1.75</v>
      </c>
      <c r="N21" s="15">
        <f t="shared" si="11"/>
        <v>1.61538461538462</v>
      </c>
      <c r="O21" s="15">
        <f t="shared" si="12"/>
        <v>1.5</v>
      </c>
      <c r="P21" s="12">
        <f t="shared" si="13"/>
        <v>1.4</v>
      </c>
      <c r="Q21" s="12">
        <f t="shared" si="14"/>
        <v>1.3125</v>
      </c>
      <c r="R21" s="12">
        <f t="shared" ref="R21:R59" si="15">B21/17</f>
        <v>1.23529411764706</v>
      </c>
      <c r="S21" s="12">
        <f>B21/18</f>
        <v>1.16666666666667</v>
      </c>
      <c r="T21" s="13">
        <f>SUM(B21:S21)</f>
        <v>83.1972696421226</v>
      </c>
      <c r="U21" s="14">
        <f>T21/61</f>
        <v>1.3638896662643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9"/>
      <c r="BN21" s="23"/>
      <c r="BO21" s="23"/>
      <c r="BP21" s="23"/>
      <c r="BQ21" s="23"/>
      <c r="BR21" s="23"/>
      <c r="BS21" s="23"/>
      <c r="BT21" s="2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</row>
    <row r="22" spans="1:139">
      <c r="A22" s="11" t="s">
        <v>84</v>
      </c>
      <c r="B22" s="12">
        <v>22</v>
      </c>
      <c r="C22" s="12">
        <f t="shared" si="0"/>
        <v>15.4</v>
      </c>
      <c r="D22" s="15">
        <f t="shared" si="1"/>
        <v>11</v>
      </c>
      <c r="E22" s="15">
        <f t="shared" si="2"/>
        <v>7.7</v>
      </c>
      <c r="F22" s="15">
        <f t="shared" si="3"/>
        <v>4.4</v>
      </c>
      <c r="G22" s="15">
        <f t="shared" si="4"/>
        <v>3.66666666666667</v>
      </c>
      <c r="H22" s="15">
        <f t="shared" si="5"/>
        <v>3.14285714285714</v>
      </c>
      <c r="I22" s="15">
        <f t="shared" si="6"/>
        <v>2.75</v>
      </c>
      <c r="J22" s="15">
        <f t="shared" si="7"/>
        <v>2.44444444444444</v>
      </c>
      <c r="K22" s="15">
        <f t="shared" si="8"/>
        <v>2.2</v>
      </c>
      <c r="L22" s="15">
        <f t="shared" si="9"/>
        <v>2</v>
      </c>
      <c r="M22" s="15">
        <f t="shared" si="10"/>
        <v>1.83333333333333</v>
      </c>
      <c r="N22" s="15">
        <f t="shared" si="11"/>
        <v>1.69230769230769</v>
      </c>
      <c r="O22" s="15">
        <f t="shared" si="12"/>
        <v>1.57142857142857</v>
      </c>
      <c r="P22" s="12">
        <f t="shared" si="13"/>
        <v>1.46666666666667</v>
      </c>
      <c r="Q22" s="12">
        <f t="shared" si="14"/>
        <v>1.375</v>
      </c>
      <c r="R22" s="12">
        <f t="shared" si="15"/>
        <v>1.29411764705882</v>
      </c>
      <c r="S22" s="12">
        <f t="shared" ref="S22:S59" si="16">B22/18</f>
        <v>1.22222222222222</v>
      </c>
      <c r="T22" s="12">
        <f>B22/19</f>
        <v>1.15789473684211</v>
      </c>
      <c r="U22" s="13">
        <f>SUM(B22:T22)</f>
        <v>88.3169391238277</v>
      </c>
      <c r="V22" s="14">
        <f>U22/64</f>
        <v>1.37995217380981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9"/>
      <c r="BN22" s="23"/>
      <c r="BO22" s="23"/>
      <c r="BP22" s="23"/>
      <c r="BQ22" s="23"/>
      <c r="BR22" s="23"/>
      <c r="BS22" s="23"/>
      <c r="BT22" s="2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</row>
    <row r="23" spans="1:139">
      <c r="A23" s="11" t="s">
        <v>85</v>
      </c>
      <c r="B23" s="12">
        <v>23</v>
      </c>
      <c r="C23" s="12">
        <f t="shared" si="0"/>
        <v>16.1</v>
      </c>
      <c r="D23" s="15">
        <f t="shared" si="1"/>
        <v>11.5</v>
      </c>
      <c r="E23" s="15">
        <f t="shared" si="2"/>
        <v>8.05</v>
      </c>
      <c r="F23" s="15">
        <f t="shared" si="3"/>
        <v>4.6</v>
      </c>
      <c r="G23" s="15">
        <f t="shared" si="4"/>
        <v>3.83333333333333</v>
      </c>
      <c r="H23" s="15">
        <f t="shared" si="5"/>
        <v>3.28571428571429</v>
      </c>
      <c r="I23" s="15">
        <f t="shared" si="6"/>
        <v>2.875</v>
      </c>
      <c r="J23" s="15">
        <f t="shared" si="7"/>
        <v>2.55555555555556</v>
      </c>
      <c r="K23" s="15">
        <f t="shared" si="8"/>
        <v>2.3</v>
      </c>
      <c r="L23" s="15">
        <f t="shared" si="9"/>
        <v>2.09090909090909</v>
      </c>
      <c r="M23" s="15">
        <f t="shared" si="10"/>
        <v>1.91666666666667</v>
      </c>
      <c r="N23" s="15">
        <f t="shared" si="11"/>
        <v>1.76923076923077</v>
      </c>
      <c r="O23" s="15">
        <f t="shared" si="12"/>
        <v>1.64285714285714</v>
      </c>
      <c r="P23" s="12">
        <f t="shared" si="13"/>
        <v>1.53333333333333</v>
      </c>
      <c r="Q23" s="12">
        <f t="shared" si="14"/>
        <v>1.4375</v>
      </c>
      <c r="R23" s="12">
        <f t="shared" si="15"/>
        <v>1.35294117647059</v>
      </c>
      <c r="S23" s="12">
        <f t="shared" si="16"/>
        <v>1.27777777777778</v>
      </c>
      <c r="T23" s="12">
        <f t="shared" ref="T23:T59" si="17">B23/19</f>
        <v>1.21052631578947</v>
      </c>
      <c r="U23" s="12">
        <f>B23/20</f>
        <v>1.15</v>
      </c>
      <c r="V23" s="13">
        <f>SUM(B23:U23)</f>
        <v>93.481345447638</v>
      </c>
      <c r="W23" s="14">
        <f>V23/68</f>
        <v>1.37472566834762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9"/>
      <c r="BN23" s="23"/>
      <c r="BO23" s="23"/>
      <c r="BP23" s="23"/>
      <c r="BQ23" s="23"/>
      <c r="BR23" s="23"/>
      <c r="BS23" s="23"/>
      <c r="BT23" s="2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</row>
    <row r="24" spans="1:139">
      <c r="A24" s="11" t="s">
        <v>86</v>
      </c>
      <c r="B24" s="12">
        <v>24</v>
      </c>
      <c r="C24" s="12">
        <f t="shared" si="0"/>
        <v>16.8</v>
      </c>
      <c r="D24" s="15">
        <f t="shared" si="1"/>
        <v>12</v>
      </c>
      <c r="E24" s="15">
        <f t="shared" si="2"/>
        <v>8.4</v>
      </c>
      <c r="F24" s="15">
        <f t="shared" si="3"/>
        <v>4.8</v>
      </c>
      <c r="G24" s="15">
        <f t="shared" si="4"/>
        <v>4</v>
      </c>
      <c r="H24" s="15">
        <f t="shared" si="5"/>
        <v>3.42857142857143</v>
      </c>
      <c r="I24" s="15">
        <f t="shared" si="6"/>
        <v>3</v>
      </c>
      <c r="J24" s="15">
        <f t="shared" si="7"/>
        <v>2.66666666666667</v>
      </c>
      <c r="K24" s="15">
        <f t="shared" si="8"/>
        <v>2.4</v>
      </c>
      <c r="L24" s="15">
        <f t="shared" si="9"/>
        <v>2.18181818181818</v>
      </c>
      <c r="M24" s="15">
        <f t="shared" si="10"/>
        <v>2</v>
      </c>
      <c r="N24" s="15">
        <f t="shared" si="11"/>
        <v>1.84615384615385</v>
      </c>
      <c r="O24" s="15">
        <f t="shared" si="12"/>
        <v>1.71428571428571</v>
      </c>
      <c r="P24" s="12">
        <f t="shared" si="13"/>
        <v>1.6</v>
      </c>
      <c r="Q24" s="12">
        <f t="shared" si="14"/>
        <v>1.5</v>
      </c>
      <c r="R24" s="12">
        <f t="shared" si="15"/>
        <v>1.41176470588235</v>
      </c>
      <c r="S24" s="12">
        <f t="shared" si="16"/>
        <v>1.33333333333333</v>
      </c>
      <c r="T24" s="12">
        <f t="shared" si="17"/>
        <v>1.26315789473684</v>
      </c>
      <c r="U24" s="12">
        <f t="shared" ref="U24:U59" si="18">B24/20</f>
        <v>1.2</v>
      </c>
      <c r="V24" s="12">
        <f>B24/21</f>
        <v>1.14285714285714</v>
      </c>
      <c r="W24" s="13">
        <f>SUM(B24:V24)</f>
        <v>98.6886089143055</v>
      </c>
      <c r="X24" s="14">
        <f>W24/71</f>
        <v>1.38998040724374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9"/>
      <c r="BN24" s="23"/>
      <c r="BO24" s="23"/>
      <c r="BP24" s="23"/>
      <c r="BQ24" s="23"/>
      <c r="BR24" s="23"/>
      <c r="BS24" s="23"/>
      <c r="BT24" s="2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</row>
    <row r="25" spans="1:139">
      <c r="A25" s="11" t="s">
        <v>87</v>
      </c>
      <c r="B25" s="12">
        <v>25</v>
      </c>
      <c r="C25" s="12">
        <f t="shared" si="0"/>
        <v>17.5</v>
      </c>
      <c r="D25" s="15">
        <f t="shared" si="1"/>
        <v>12.5</v>
      </c>
      <c r="E25" s="15">
        <f t="shared" si="2"/>
        <v>8.75</v>
      </c>
      <c r="F25" s="15">
        <f t="shared" si="3"/>
        <v>5</v>
      </c>
      <c r="G25" s="15">
        <f t="shared" si="4"/>
        <v>4.16666666666667</v>
      </c>
      <c r="H25" s="15">
        <f t="shared" si="5"/>
        <v>3.57142857142857</v>
      </c>
      <c r="I25" s="15">
        <f t="shared" si="6"/>
        <v>3.125</v>
      </c>
      <c r="J25" s="15">
        <f t="shared" si="7"/>
        <v>2.77777777777778</v>
      </c>
      <c r="K25" s="15">
        <f t="shared" si="8"/>
        <v>2.5</v>
      </c>
      <c r="L25" s="15">
        <f t="shared" si="9"/>
        <v>2.27272727272727</v>
      </c>
      <c r="M25" s="15">
        <f t="shared" si="10"/>
        <v>2.08333333333333</v>
      </c>
      <c r="N25" s="15">
        <f t="shared" si="11"/>
        <v>1.92307692307692</v>
      </c>
      <c r="O25" s="15">
        <f t="shared" si="12"/>
        <v>1.78571428571429</v>
      </c>
      <c r="P25" s="12">
        <f t="shared" si="13"/>
        <v>1.66666666666667</v>
      </c>
      <c r="Q25" s="12">
        <f t="shared" si="14"/>
        <v>1.5625</v>
      </c>
      <c r="R25" s="12">
        <f t="shared" si="15"/>
        <v>1.47058823529412</v>
      </c>
      <c r="S25" s="12">
        <f t="shared" si="16"/>
        <v>1.38888888888889</v>
      </c>
      <c r="T25" s="12">
        <f t="shared" si="17"/>
        <v>1.31578947368421</v>
      </c>
      <c r="U25" s="12">
        <f t="shared" si="18"/>
        <v>1.25</v>
      </c>
      <c r="V25" s="12">
        <f t="shared" ref="V25:V59" si="19">B25/21</f>
        <v>1.19047619047619</v>
      </c>
      <c r="W25" s="12">
        <f>B25/22</f>
        <v>1.13636363636364</v>
      </c>
      <c r="X25" s="13">
        <f>SUM(B25:W25)</f>
        <v>103.936997922099</v>
      </c>
      <c r="Y25" s="14">
        <f>X25/75</f>
        <v>1.38582663896131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9"/>
      <c r="BN25" s="23"/>
      <c r="BO25" s="23"/>
      <c r="BP25" s="23"/>
      <c r="BQ25" s="23"/>
      <c r="BR25" s="23"/>
      <c r="BS25" s="23"/>
      <c r="BT25" s="2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</row>
    <row r="26" spans="1:139">
      <c r="A26" s="11" t="s">
        <v>88</v>
      </c>
      <c r="B26" s="12">
        <v>26</v>
      </c>
      <c r="C26" s="12">
        <f t="shared" si="0"/>
        <v>18.2</v>
      </c>
      <c r="D26" s="15">
        <f t="shared" si="1"/>
        <v>13</v>
      </c>
      <c r="E26" s="15">
        <f t="shared" si="2"/>
        <v>9.1</v>
      </c>
      <c r="F26" s="15">
        <f t="shared" si="3"/>
        <v>5.2</v>
      </c>
      <c r="G26" s="15">
        <f t="shared" si="4"/>
        <v>4.33333333333333</v>
      </c>
      <c r="H26" s="15">
        <f t="shared" si="5"/>
        <v>3.71428571428571</v>
      </c>
      <c r="I26" s="15">
        <f t="shared" si="6"/>
        <v>3.25</v>
      </c>
      <c r="J26" s="15">
        <f t="shared" si="7"/>
        <v>2.88888888888889</v>
      </c>
      <c r="K26" s="15">
        <f t="shared" si="8"/>
        <v>2.6</v>
      </c>
      <c r="L26" s="15">
        <f t="shared" si="9"/>
        <v>2.36363636363636</v>
      </c>
      <c r="M26" s="15">
        <f t="shared" si="10"/>
        <v>2.16666666666667</v>
      </c>
      <c r="N26" s="15">
        <f t="shared" si="11"/>
        <v>2</v>
      </c>
      <c r="O26" s="15">
        <f t="shared" si="12"/>
        <v>1.85714285714286</v>
      </c>
      <c r="P26" s="12">
        <f t="shared" si="13"/>
        <v>1.73333333333333</v>
      </c>
      <c r="Q26" s="12">
        <f t="shared" si="14"/>
        <v>1.625</v>
      </c>
      <c r="R26" s="12">
        <f t="shared" si="15"/>
        <v>1.52941176470588</v>
      </c>
      <c r="S26" s="12">
        <f t="shared" si="16"/>
        <v>1.44444444444444</v>
      </c>
      <c r="T26" s="12">
        <f t="shared" si="17"/>
        <v>1.36842105263158</v>
      </c>
      <c r="U26" s="12">
        <f t="shared" si="18"/>
        <v>1.3</v>
      </c>
      <c r="V26" s="12">
        <f t="shared" si="19"/>
        <v>1.23809523809524</v>
      </c>
      <c r="W26" s="12">
        <f t="shared" ref="W26:W59" si="20">B26/22</f>
        <v>1.18181818181818</v>
      </c>
      <c r="X26" s="12">
        <f>B26/23</f>
        <v>1.1304347826087</v>
      </c>
      <c r="Y26" s="13">
        <f>SUM(B26:X26)</f>
        <v>109.224912621591</v>
      </c>
      <c r="Z26" s="14">
        <f>Y26/78</f>
        <v>1.4003193925845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9"/>
      <c r="BN26" s="23"/>
      <c r="BO26" s="23"/>
      <c r="BP26" s="23"/>
      <c r="BQ26" s="23"/>
      <c r="BR26" s="23"/>
      <c r="BS26" s="23"/>
      <c r="BT26" s="2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</row>
    <row r="27" spans="1:139">
      <c r="A27" s="11" t="s">
        <v>89</v>
      </c>
      <c r="B27" s="12">
        <v>28</v>
      </c>
      <c r="C27" s="12">
        <f t="shared" si="0"/>
        <v>19.6</v>
      </c>
      <c r="D27" s="15">
        <f t="shared" si="1"/>
        <v>14</v>
      </c>
      <c r="E27" s="15">
        <f t="shared" si="2"/>
        <v>9.8</v>
      </c>
      <c r="F27" s="15">
        <f t="shared" si="3"/>
        <v>5.6</v>
      </c>
      <c r="G27" s="15">
        <f t="shared" si="4"/>
        <v>4.66666666666667</v>
      </c>
      <c r="H27" s="15">
        <f t="shared" si="5"/>
        <v>4</v>
      </c>
      <c r="I27" s="15">
        <f t="shared" si="6"/>
        <v>3.5</v>
      </c>
      <c r="J27" s="15">
        <f t="shared" si="7"/>
        <v>3.11111111111111</v>
      </c>
      <c r="K27" s="15">
        <f t="shared" si="8"/>
        <v>2.8</v>
      </c>
      <c r="L27" s="15">
        <f t="shared" si="9"/>
        <v>2.54545454545455</v>
      </c>
      <c r="M27" s="15">
        <f t="shared" si="10"/>
        <v>2.33333333333333</v>
      </c>
      <c r="N27" s="15">
        <f t="shared" si="11"/>
        <v>2.15384615384615</v>
      </c>
      <c r="O27" s="15">
        <f t="shared" si="12"/>
        <v>2</v>
      </c>
      <c r="P27" s="12">
        <f t="shared" si="13"/>
        <v>1.86666666666667</v>
      </c>
      <c r="Q27" s="12">
        <f t="shared" si="14"/>
        <v>1.75</v>
      </c>
      <c r="R27" s="12">
        <f t="shared" si="15"/>
        <v>1.64705882352941</v>
      </c>
      <c r="S27" s="12">
        <f t="shared" si="16"/>
        <v>1.55555555555556</v>
      </c>
      <c r="T27" s="12">
        <f t="shared" si="17"/>
        <v>1.47368421052632</v>
      </c>
      <c r="U27" s="12">
        <f t="shared" si="18"/>
        <v>1.4</v>
      </c>
      <c r="V27" s="12">
        <f t="shared" si="19"/>
        <v>1.33333333333333</v>
      </c>
      <c r="W27" s="12">
        <f t="shared" si="20"/>
        <v>1.27272727272727</v>
      </c>
      <c r="X27" s="12">
        <f t="shared" ref="X27:X59" si="21">B27/23</f>
        <v>1.21739130434783</v>
      </c>
      <c r="Y27" s="12">
        <f>B27/24</f>
        <v>1.16666666666667</v>
      </c>
      <c r="Z27" s="13">
        <f>SUM(B27:Y27)</f>
        <v>118.793495643765</v>
      </c>
      <c r="AA27" s="14">
        <f>Z27/84</f>
        <v>1.41420828147339</v>
      </c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9"/>
      <c r="BN27" s="23"/>
      <c r="BO27" s="23"/>
      <c r="BP27" s="23"/>
      <c r="BQ27" s="23"/>
      <c r="BR27" s="23"/>
      <c r="BS27" s="23"/>
      <c r="BT27" s="2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</row>
    <row r="28" spans="1:139">
      <c r="A28" s="11" t="s">
        <v>90</v>
      </c>
      <c r="B28" s="12">
        <v>30</v>
      </c>
      <c r="C28" s="12">
        <f t="shared" si="0"/>
        <v>21</v>
      </c>
      <c r="D28" s="15">
        <f t="shared" si="1"/>
        <v>15</v>
      </c>
      <c r="E28" s="15">
        <f t="shared" si="2"/>
        <v>10.5</v>
      </c>
      <c r="F28" s="15">
        <f t="shared" si="3"/>
        <v>6</v>
      </c>
      <c r="G28" s="15">
        <f t="shared" si="4"/>
        <v>5</v>
      </c>
      <c r="H28" s="15">
        <f t="shared" si="5"/>
        <v>4.28571428571429</v>
      </c>
      <c r="I28" s="15">
        <f t="shared" si="6"/>
        <v>3.75</v>
      </c>
      <c r="J28" s="15">
        <f t="shared" si="7"/>
        <v>3.33333333333333</v>
      </c>
      <c r="K28" s="15">
        <f t="shared" si="8"/>
        <v>3</v>
      </c>
      <c r="L28" s="15">
        <f t="shared" si="9"/>
        <v>2.72727272727273</v>
      </c>
      <c r="M28" s="15">
        <f t="shared" si="10"/>
        <v>2.5</v>
      </c>
      <c r="N28" s="15">
        <f t="shared" si="11"/>
        <v>2.30769230769231</v>
      </c>
      <c r="O28" s="15">
        <f t="shared" si="12"/>
        <v>2.14285714285714</v>
      </c>
      <c r="P28" s="12">
        <f t="shared" si="13"/>
        <v>2</v>
      </c>
      <c r="Q28" s="12">
        <f t="shared" si="14"/>
        <v>1.875</v>
      </c>
      <c r="R28" s="12">
        <f t="shared" si="15"/>
        <v>1.76470588235294</v>
      </c>
      <c r="S28" s="12">
        <f t="shared" si="16"/>
        <v>1.66666666666667</v>
      </c>
      <c r="T28" s="12">
        <f t="shared" si="17"/>
        <v>1.57894736842105</v>
      </c>
      <c r="U28" s="12">
        <f t="shared" si="18"/>
        <v>1.5</v>
      </c>
      <c r="V28" s="12">
        <f t="shared" si="19"/>
        <v>1.42857142857143</v>
      </c>
      <c r="W28" s="12">
        <f t="shared" si="20"/>
        <v>1.36363636363636</v>
      </c>
      <c r="X28" s="12">
        <f t="shared" si="21"/>
        <v>1.30434782608696</v>
      </c>
      <c r="Y28" s="12">
        <f t="shared" ref="Y28:Y59" si="22">B28/24</f>
        <v>1.25</v>
      </c>
      <c r="Z28" s="12">
        <f>B28/25</f>
        <v>1.2</v>
      </c>
      <c r="AA28" s="12">
        <f>B28/26</f>
        <v>1.15384615384615</v>
      </c>
      <c r="AB28" s="13">
        <f>SUM(B28:AA28)</f>
        <v>129.632591486451</v>
      </c>
      <c r="AC28" s="14">
        <f>AB28/88</f>
        <v>1.47309763052786</v>
      </c>
      <c r="AD28" s="12"/>
      <c r="AE28" s="12"/>
      <c r="AF28" s="12"/>
      <c r="AG28" s="12"/>
      <c r="AH28" s="12"/>
      <c r="AI28" s="12"/>
      <c r="AJ28" s="12"/>
      <c r="AK28" s="12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9"/>
      <c r="BN28" s="23"/>
      <c r="BO28" s="23"/>
      <c r="BP28" s="23"/>
      <c r="BQ28" s="23"/>
      <c r="BR28" s="23"/>
      <c r="BS28" s="23"/>
      <c r="BT28" s="2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</row>
    <row r="29" spans="1:139">
      <c r="A29" s="11" t="s">
        <v>91</v>
      </c>
      <c r="B29" s="12">
        <v>33</v>
      </c>
      <c r="C29" s="12">
        <f t="shared" si="0"/>
        <v>23.1</v>
      </c>
      <c r="D29" s="15">
        <f t="shared" si="1"/>
        <v>16.5</v>
      </c>
      <c r="E29" s="15">
        <f t="shared" si="2"/>
        <v>11.55</v>
      </c>
      <c r="F29" s="15">
        <f t="shared" si="3"/>
        <v>6.6</v>
      </c>
      <c r="G29" s="15">
        <f t="shared" si="4"/>
        <v>5.5</v>
      </c>
      <c r="H29" s="15">
        <f t="shared" si="5"/>
        <v>4.71428571428571</v>
      </c>
      <c r="I29" s="15">
        <f t="shared" si="6"/>
        <v>4.125</v>
      </c>
      <c r="J29" s="15">
        <f t="shared" si="7"/>
        <v>3.66666666666667</v>
      </c>
      <c r="K29" s="15">
        <f t="shared" si="8"/>
        <v>3.3</v>
      </c>
      <c r="L29" s="15">
        <f t="shared" si="9"/>
        <v>3</v>
      </c>
      <c r="M29" s="15">
        <f t="shared" si="10"/>
        <v>2.75</v>
      </c>
      <c r="N29" s="15">
        <f t="shared" si="11"/>
        <v>2.53846153846154</v>
      </c>
      <c r="O29" s="15">
        <f t="shared" si="12"/>
        <v>2.35714285714286</v>
      </c>
      <c r="P29" s="12">
        <f t="shared" si="13"/>
        <v>2.2</v>
      </c>
      <c r="Q29" s="12">
        <f t="shared" si="14"/>
        <v>2.0625</v>
      </c>
      <c r="R29" s="12">
        <f t="shared" si="15"/>
        <v>1.94117647058824</v>
      </c>
      <c r="S29" s="12">
        <f t="shared" si="16"/>
        <v>1.83333333333333</v>
      </c>
      <c r="T29" s="12">
        <f t="shared" si="17"/>
        <v>1.73684210526316</v>
      </c>
      <c r="U29" s="12">
        <f t="shared" si="18"/>
        <v>1.65</v>
      </c>
      <c r="V29" s="12">
        <f t="shared" si="19"/>
        <v>1.57142857142857</v>
      </c>
      <c r="W29" s="12">
        <f t="shared" si="20"/>
        <v>1.5</v>
      </c>
      <c r="X29" s="12">
        <f t="shared" si="21"/>
        <v>1.43478260869565</v>
      </c>
      <c r="Y29" s="12">
        <f t="shared" si="22"/>
        <v>1.375</v>
      </c>
      <c r="Z29" s="12">
        <f t="shared" ref="Z29:Z59" si="23">B29/25</f>
        <v>1.32</v>
      </c>
      <c r="AA29" s="12">
        <f t="shared" ref="AA29:AA59" si="24">B29/26</f>
        <v>1.26923076923077</v>
      </c>
      <c r="AB29" s="12">
        <f>B29/27</f>
        <v>1.22222222222222</v>
      </c>
      <c r="AC29" s="12">
        <f>B29/28</f>
        <v>1.17857142857143</v>
      </c>
      <c r="AD29" s="13">
        <f>SUM(B29:AC29)</f>
        <v>144.99664428589</v>
      </c>
      <c r="AE29" s="14">
        <f>AD29/95</f>
        <v>1.52628046616726</v>
      </c>
      <c r="AF29" s="12"/>
      <c r="AG29" s="12"/>
      <c r="AH29" s="12"/>
      <c r="AI29" s="12"/>
      <c r="AJ29" s="12"/>
      <c r="AK29" s="12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9"/>
      <c r="BN29" s="23"/>
      <c r="BO29" s="23"/>
      <c r="BP29" s="23"/>
      <c r="BQ29" s="23"/>
      <c r="BR29" s="23"/>
      <c r="BS29" s="23"/>
      <c r="BT29" s="2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</row>
    <row r="30" spans="1:139">
      <c r="A30" s="11" t="s">
        <v>92</v>
      </c>
      <c r="B30" s="12">
        <v>34.5</v>
      </c>
      <c r="C30" s="12">
        <f t="shared" si="0"/>
        <v>24.15</v>
      </c>
      <c r="D30" s="15">
        <f t="shared" si="1"/>
        <v>17.25</v>
      </c>
      <c r="E30" s="15">
        <f t="shared" si="2"/>
        <v>12.075</v>
      </c>
      <c r="F30" s="15">
        <f t="shared" si="3"/>
        <v>6.9</v>
      </c>
      <c r="G30" s="15">
        <f t="shared" si="4"/>
        <v>5.75</v>
      </c>
      <c r="H30" s="15">
        <f t="shared" si="5"/>
        <v>4.92857142857143</v>
      </c>
      <c r="I30" s="15">
        <f t="shared" si="6"/>
        <v>4.3125</v>
      </c>
      <c r="J30" s="15">
        <f t="shared" si="7"/>
        <v>3.83333333333333</v>
      </c>
      <c r="K30" s="15">
        <f t="shared" si="8"/>
        <v>3.45</v>
      </c>
      <c r="L30" s="15">
        <f t="shared" si="9"/>
        <v>3.13636363636364</v>
      </c>
      <c r="M30" s="15">
        <f t="shared" si="10"/>
        <v>2.875</v>
      </c>
      <c r="N30" s="15">
        <f t="shared" si="11"/>
        <v>2.65384615384615</v>
      </c>
      <c r="O30" s="15">
        <f t="shared" si="12"/>
        <v>2.46428571428571</v>
      </c>
      <c r="P30" s="12">
        <f t="shared" si="13"/>
        <v>2.3</v>
      </c>
      <c r="Q30" s="12">
        <f t="shared" si="14"/>
        <v>2.15625</v>
      </c>
      <c r="R30" s="12">
        <f t="shared" si="15"/>
        <v>2.02941176470588</v>
      </c>
      <c r="S30" s="12">
        <f t="shared" si="16"/>
        <v>1.91666666666667</v>
      </c>
      <c r="T30" s="12">
        <f t="shared" si="17"/>
        <v>1.81578947368421</v>
      </c>
      <c r="U30" s="12">
        <f t="shared" si="18"/>
        <v>1.725</v>
      </c>
      <c r="V30" s="12">
        <f t="shared" si="19"/>
        <v>1.64285714285714</v>
      </c>
      <c r="W30" s="12">
        <f t="shared" si="20"/>
        <v>1.56818181818182</v>
      </c>
      <c r="X30" s="12">
        <f t="shared" si="21"/>
        <v>1.5</v>
      </c>
      <c r="Y30" s="12">
        <f t="shared" si="22"/>
        <v>1.4375</v>
      </c>
      <c r="Z30" s="12">
        <f t="shared" si="23"/>
        <v>1.38</v>
      </c>
      <c r="AA30" s="12">
        <f t="shared" si="24"/>
        <v>1.32692307692308</v>
      </c>
      <c r="AB30" s="12">
        <f t="shared" ref="AB30:AB59" si="25">B30/27</f>
        <v>1.27777777777778</v>
      </c>
      <c r="AC30" s="12">
        <f t="shared" ref="AC30:AC59" si="26">B30/28</f>
        <v>1.23214285714286</v>
      </c>
      <c r="AD30" s="12">
        <f>B30/29</f>
        <v>1.18965517241379</v>
      </c>
      <c r="AE30" s="13">
        <f>SUM(B30:AD30)</f>
        <v>152.777056016753</v>
      </c>
      <c r="AF30" s="14">
        <f>AE30/98</f>
        <v>1.55894955119136</v>
      </c>
      <c r="AG30" s="12"/>
      <c r="AH30" s="12"/>
      <c r="AI30" s="12"/>
      <c r="AJ30" s="12"/>
      <c r="AK30" s="12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23"/>
      <c r="BN30" s="23"/>
      <c r="BO30" s="23"/>
      <c r="BP30" s="23"/>
      <c r="BQ30" s="23"/>
      <c r="BR30" s="23"/>
      <c r="BS30" s="23"/>
      <c r="BT30" s="2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</row>
    <row r="31" s="2" customFormat="1" spans="1:139">
      <c r="A31" s="16" t="s">
        <v>93</v>
      </c>
      <c r="B31" s="17">
        <v>36.5</v>
      </c>
      <c r="C31" s="17">
        <f t="shared" si="0"/>
        <v>25.55</v>
      </c>
      <c r="D31" s="17">
        <f t="shared" si="1"/>
        <v>18.25</v>
      </c>
      <c r="E31" s="17">
        <f t="shared" si="2"/>
        <v>12.775</v>
      </c>
      <c r="F31" s="17">
        <f t="shared" si="3"/>
        <v>7.3</v>
      </c>
      <c r="G31" s="17">
        <f t="shared" si="4"/>
        <v>6.08333333333333</v>
      </c>
      <c r="H31" s="17">
        <f t="shared" si="5"/>
        <v>5.21428571428571</v>
      </c>
      <c r="I31" s="17">
        <f t="shared" si="6"/>
        <v>4.5625</v>
      </c>
      <c r="J31" s="17">
        <f t="shared" si="7"/>
        <v>4.05555555555556</v>
      </c>
      <c r="K31" s="17">
        <f t="shared" si="8"/>
        <v>3.65</v>
      </c>
      <c r="L31" s="17">
        <f t="shared" si="9"/>
        <v>3.31818181818182</v>
      </c>
      <c r="M31" s="17">
        <f t="shared" si="10"/>
        <v>3.04166666666667</v>
      </c>
      <c r="N31" s="17">
        <f t="shared" si="11"/>
        <v>2.80769230769231</v>
      </c>
      <c r="O31" s="17">
        <f t="shared" si="12"/>
        <v>2.60714285714286</v>
      </c>
      <c r="P31" s="17">
        <f t="shared" si="13"/>
        <v>2.43333333333333</v>
      </c>
      <c r="Q31" s="17">
        <f t="shared" si="14"/>
        <v>2.28125</v>
      </c>
      <c r="R31" s="17">
        <f t="shared" si="15"/>
        <v>2.14705882352941</v>
      </c>
      <c r="S31" s="17">
        <f t="shared" si="16"/>
        <v>2.02777777777778</v>
      </c>
      <c r="T31" s="17">
        <f t="shared" si="17"/>
        <v>1.92105263157895</v>
      </c>
      <c r="U31" s="17">
        <f t="shared" si="18"/>
        <v>1.825</v>
      </c>
      <c r="V31" s="17">
        <f t="shared" si="19"/>
        <v>1.73809523809524</v>
      </c>
      <c r="W31" s="17">
        <f t="shared" si="20"/>
        <v>1.65909090909091</v>
      </c>
      <c r="X31" s="17">
        <f t="shared" si="21"/>
        <v>1.58695652173913</v>
      </c>
      <c r="Y31" s="17">
        <f t="shared" si="22"/>
        <v>1.52083333333333</v>
      </c>
      <c r="Z31" s="17">
        <f t="shared" si="23"/>
        <v>1.46</v>
      </c>
      <c r="AA31" s="17">
        <f t="shared" si="24"/>
        <v>1.40384615384615</v>
      </c>
      <c r="AB31" s="17">
        <f t="shared" si="25"/>
        <v>1.35185185185185</v>
      </c>
      <c r="AC31" s="17">
        <f t="shared" si="26"/>
        <v>1.30357142857143</v>
      </c>
      <c r="AD31" s="17">
        <f t="shared" ref="AD31:AD59" si="27">B31/29</f>
        <v>1.25862068965517</v>
      </c>
      <c r="AE31" s="17">
        <f>B31/30</f>
        <v>1.21666666666667</v>
      </c>
      <c r="AF31" s="17">
        <f>B31/31</f>
        <v>1.17741935483871</v>
      </c>
      <c r="AG31" s="13">
        <f>SUM(B31:AF31)</f>
        <v>164.027782966766</v>
      </c>
      <c r="AH31" s="14">
        <f>AG31/104</f>
        <v>1.57719022083429</v>
      </c>
      <c r="AI31" s="12"/>
      <c r="AJ31" s="12"/>
      <c r="AK31" s="12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23"/>
      <c r="BN31" s="23"/>
      <c r="BO31" s="23"/>
      <c r="BP31" s="23"/>
      <c r="BQ31" s="23"/>
      <c r="BR31" s="23"/>
      <c r="BS31" s="23"/>
      <c r="BT31" s="2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</row>
    <row r="32" spans="1:139">
      <c r="A32" s="11" t="s">
        <v>94</v>
      </c>
      <c r="B32" s="12">
        <v>37.5</v>
      </c>
      <c r="C32" s="12">
        <f t="shared" si="0"/>
        <v>26.25</v>
      </c>
      <c r="D32" s="15">
        <f t="shared" si="1"/>
        <v>18.75</v>
      </c>
      <c r="E32" s="15">
        <f t="shared" si="2"/>
        <v>13.125</v>
      </c>
      <c r="F32" s="15">
        <f t="shared" si="3"/>
        <v>7.5</v>
      </c>
      <c r="G32" s="15">
        <f t="shared" si="4"/>
        <v>6.25</v>
      </c>
      <c r="H32" s="15">
        <f t="shared" si="5"/>
        <v>5.35714285714286</v>
      </c>
      <c r="I32" s="15">
        <f t="shared" si="6"/>
        <v>4.6875</v>
      </c>
      <c r="J32" s="15">
        <f t="shared" si="7"/>
        <v>4.16666666666667</v>
      </c>
      <c r="K32" s="15">
        <f t="shared" si="8"/>
        <v>3.75</v>
      </c>
      <c r="L32" s="15">
        <f t="shared" si="9"/>
        <v>3.40909090909091</v>
      </c>
      <c r="M32" s="15">
        <f t="shared" si="10"/>
        <v>3.125</v>
      </c>
      <c r="N32" s="15">
        <f t="shared" si="11"/>
        <v>2.88461538461538</v>
      </c>
      <c r="O32" s="15">
        <f t="shared" si="12"/>
        <v>2.67857142857143</v>
      </c>
      <c r="P32" s="12">
        <f t="shared" si="13"/>
        <v>2.5</v>
      </c>
      <c r="Q32" s="12">
        <f t="shared" si="14"/>
        <v>2.34375</v>
      </c>
      <c r="R32" s="12">
        <f t="shared" si="15"/>
        <v>2.20588235294118</v>
      </c>
      <c r="S32" s="12">
        <f t="shared" si="16"/>
        <v>2.08333333333333</v>
      </c>
      <c r="T32" s="12">
        <f t="shared" si="17"/>
        <v>1.97368421052632</v>
      </c>
      <c r="U32" s="12">
        <f t="shared" si="18"/>
        <v>1.875</v>
      </c>
      <c r="V32" s="12">
        <f t="shared" si="19"/>
        <v>1.78571428571429</v>
      </c>
      <c r="W32" s="12">
        <f t="shared" si="20"/>
        <v>1.70454545454545</v>
      </c>
      <c r="X32" s="12">
        <f t="shared" si="21"/>
        <v>1.6304347826087</v>
      </c>
      <c r="Y32" s="12">
        <f t="shared" si="22"/>
        <v>1.5625</v>
      </c>
      <c r="Z32" s="12">
        <f t="shared" si="23"/>
        <v>1.5</v>
      </c>
      <c r="AA32" s="12">
        <f t="shared" si="24"/>
        <v>1.44230769230769</v>
      </c>
      <c r="AB32" s="12">
        <f t="shared" si="25"/>
        <v>1.38888888888889</v>
      </c>
      <c r="AC32" s="12">
        <f t="shared" si="26"/>
        <v>1.33928571428571</v>
      </c>
      <c r="AD32" s="12">
        <f t="shared" si="27"/>
        <v>1.29310344827586</v>
      </c>
      <c r="AE32" s="12">
        <f t="shared" ref="AE32:AE59" si="28">B32/30</f>
        <v>1.25</v>
      </c>
      <c r="AF32" s="12">
        <f t="shared" ref="AF32:AF59" si="29">B32/31</f>
        <v>1.20967741935484</v>
      </c>
      <c r="AG32" s="12">
        <f>B32/32</f>
        <v>1.171875</v>
      </c>
      <c r="AH32" s="13">
        <f>SUM(B32:AG32)</f>
        <v>169.69356982887</v>
      </c>
      <c r="AI32" s="14">
        <f>AH32/108</f>
        <v>1.57123675767472</v>
      </c>
      <c r="AJ32" s="12"/>
      <c r="AK32" s="12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9"/>
      <c r="BN32" s="23"/>
      <c r="BO32" s="23"/>
      <c r="BP32" s="23"/>
      <c r="BQ32" s="23"/>
      <c r="BR32" s="23"/>
      <c r="BS32" s="23"/>
      <c r="BT32" s="2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</row>
    <row r="33" spans="1:139">
      <c r="A33" s="11" t="s">
        <v>95</v>
      </c>
      <c r="B33" s="12">
        <v>39.5</v>
      </c>
      <c r="C33" s="12">
        <f t="shared" si="0"/>
        <v>27.65</v>
      </c>
      <c r="D33" s="15">
        <f t="shared" si="1"/>
        <v>19.75</v>
      </c>
      <c r="E33" s="15">
        <f t="shared" si="2"/>
        <v>13.825</v>
      </c>
      <c r="F33" s="15">
        <f t="shared" si="3"/>
        <v>7.9</v>
      </c>
      <c r="G33" s="15">
        <f t="shared" si="4"/>
        <v>6.58333333333333</v>
      </c>
      <c r="H33" s="15">
        <f t="shared" si="5"/>
        <v>5.64285714285714</v>
      </c>
      <c r="I33" s="15">
        <f t="shared" si="6"/>
        <v>4.9375</v>
      </c>
      <c r="J33" s="15">
        <f t="shared" si="7"/>
        <v>4.38888888888889</v>
      </c>
      <c r="K33" s="15">
        <f t="shared" si="8"/>
        <v>3.95</v>
      </c>
      <c r="L33" s="15">
        <f t="shared" si="9"/>
        <v>3.59090909090909</v>
      </c>
      <c r="M33" s="15">
        <f t="shared" si="10"/>
        <v>3.29166666666667</v>
      </c>
      <c r="N33" s="15">
        <f t="shared" si="11"/>
        <v>3.03846153846154</v>
      </c>
      <c r="O33" s="15">
        <f t="shared" si="12"/>
        <v>2.82142857142857</v>
      </c>
      <c r="P33" s="12">
        <f t="shared" si="13"/>
        <v>2.63333333333333</v>
      </c>
      <c r="Q33" s="12">
        <f t="shared" si="14"/>
        <v>2.46875</v>
      </c>
      <c r="R33" s="12">
        <f t="shared" si="15"/>
        <v>2.32352941176471</v>
      </c>
      <c r="S33" s="12">
        <f t="shared" si="16"/>
        <v>2.19444444444444</v>
      </c>
      <c r="T33" s="12">
        <f t="shared" si="17"/>
        <v>2.07894736842105</v>
      </c>
      <c r="U33" s="12">
        <f t="shared" si="18"/>
        <v>1.975</v>
      </c>
      <c r="V33" s="12">
        <f t="shared" si="19"/>
        <v>1.88095238095238</v>
      </c>
      <c r="W33" s="12">
        <f t="shared" si="20"/>
        <v>1.79545454545455</v>
      </c>
      <c r="X33" s="12">
        <f t="shared" si="21"/>
        <v>1.71739130434783</v>
      </c>
      <c r="Y33" s="12">
        <f t="shared" si="22"/>
        <v>1.64583333333333</v>
      </c>
      <c r="Z33" s="12">
        <f t="shared" si="23"/>
        <v>1.58</v>
      </c>
      <c r="AA33" s="12">
        <f t="shared" si="24"/>
        <v>1.51923076923077</v>
      </c>
      <c r="AB33" s="12">
        <f t="shared" si="25"/>
        <v>1.46296296296296</v>
      </c>
      <c r="AC33" s="12">
        <f t="shared" si="26"/>
        <v>1.41071428571429</v>
      </c>
      <c r="AD33" s="12">
        <f t="shared" si="27"/>
        <v>1.36206896551724</v>
      </c>
      <c r="AE33" s="12">
        <f t="shared" si="28"/>
        <v>1.31666666666667</v>
      </c>
      <c r="AF33" s="12">
        <f t="shared" si="29"/>
        <v>1.2741935483871</v>
      </c>
      <c r="AG33" s="12">
        <f t="shared" ref="AG33:AG59" si="30">B33/32</f>
        <v>1.234375</v>
      </c>
      <c r="AH33" s="12">
        <f>B33/33</f>
        <v>1.1969696969697</v>
      </c>
      <c r="AI33" s="12">
        <f>B33/34</f>
        <v>1.16176470588235</v>
      </c>
      <c r="AJ33" s="13">
        <f>SUM(B33:AI33)</f>
        <v>181.102627955928</v>
      </c>
      <c r="AK33" s="14">
        <f>AJ33/115</f>
        <v>1.57480546048633</v>
      </c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9"/>
      <c r="BN33" s="23"/>
      <c r="BO33" s="23"/>
      <c r="BP33" s="23"/>
      <c r="BQ33" s="23"/>
      <c r="BR33" s="23"/>
      <c r="BS33" s="23"/>
      <c r="BT33" s="2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</row>
    <row r="34" spans="1:139">
      <c r="A34" s="11" t="s">
        <v>96</v>
      </c>
      <c r="B34" s="12">
        <v>40.5</v>
      </c>
      <c r="C34" s="12">
        <f t="shared" si="0"/>
        <v>28.35</v>
      </c>
      <c r="D34" s="15">
        <f t="shared" si="1"/>
        <v>20.25</v>
      </c>
      <c r="E34" s="15">
        <f t="shared" si="2"/>
        <v>14.175</v>
      </c>
      <c r="F34" s="15">
        <f t="shared" si="3"/>
        <v>8.1</v>
      </c>
      <c r="G34" s="15">
        <f t="shared" si="4"/>
        <v>6.75</v>
      </c>
      <c r="H34" s="15">
        <f t="shared" si="5"/>
        <v>5.78571428571429</v>
      </c>
      <c r="I34" s="15">
        <f t="shared" si="6"/>
        <v>5.0625</v>
      </c>
      <c r="J34" s="15">
        <f t="shared" si="7"/>
        <v>4.5</v>
      </c>
      <c r="K34" s="15">
        <f t="shared" si="8"/>
        <v>4.05</v>
      </c>
      <c r="L34" s="15">
        <f t="shared" si="9"/>
        <v>3.68181818181818</v>
      </c>
      <c r="M34" s="15">
        <f t="shared" si="10"/>
        <v>3.375</v>
      </c>
      <c r="N34" s="15">
        <f t="shared" si="11"/>
        <v>3.11538461538462</v>
      </c>
      <c r="O34" s="15">
        <f t="shared" si="12"/>
        <v>2.89285714285714</v>
      </c>
      <c r="P34" s="12">
        <f t="shared" si="13"/>
        <v>2.7</v>
      </c>
      <c r="Q34" s="12">
        <f t="shared" si="14"/>
        <v>2.53125</v>
      </c>
      <c r="R34" s="12">
        <f t="shared" si="15"/>
        <v>2.38235294117647</v>
      </c>
      <c r="S34" s="12">
        <f t="shared" si="16"/>
        <v>2.25</v>
      </c>
      <c r="T34" s="12">
        <f t="shared" si="17"/>
        <v>2.13157894736842</v>
      </c>
      <c r="U34" s="12">
        <f t="shared" si="18"/>
        <v>2.025</v>
      </c>
      <c r="V34" s="12">
        <f t="shared" si="19"/>
        <v>1.92857142857143</v>
      </c>
      <c r="W34" s="12">
        <f t="shared" si="20"/>
        <v>1.84090909090909</v>
      </c>
      <c r="X34" s="12">
        <f t="shared" si="21"/>
        <v>1.76086956521739</v>
      </c>
      <c r="Y34" s="12">
        <f t="shared" si="22"/>
        <v>1.6875</v>
      </c>
      <c r="Z34" s="12">
        <f t="shared" si="23"/>
        <v>1.62</v>
      </c>
      <c r="AA34" s="12">
        <f t="shared" si="24"/>
        <v>1.55769230769231</v>
      </c>
      <c r="AB34" s="12">
        <f t="shared" si="25"/>
        <v>1.5</v>
      </c>
      <c r="AC34" s="12">
        <f t="shared" si="26"/>
        <v>1.44642857142857</v>
      </c>
      <c r="AD34" s="12">
        <f t="shared" si="27"/>
        <v>1.39655172413793</v>
      </c>
      <c r="AE34" s="12">
        <f t="shared" si="28"/>
        <v>1.35</v>
      </c>
      <c r="AF34" s="12">
        <f t="shared" si="29"/>
        <v>1.30645161290323</v>
      </c>
      <c r="AG34" s="12">
        <f t="shared" si="30"/>
        <v>1.265625</v>
      </c>
      <c r="AH34" s="12">
        <f t="shared" ref="AH34:AH59" si="31">B34/33</f>
        <v>1.22727272727273</v>
      </c>
      <c r="AI34" s="12">
        <f t="shared" ref="AI34:AI59" si="32">B34/34</f>
        <v>1.19117647058824</v>
      </c>
      <c r="AJ34" s="12">
        <f>B34/35</f>
        <v>1.15714285714286</v>
      </c>
      <c r="AK34" s="13">
        <f>SUM(B34:AJ34)</f>
        <v>186.844647470183</v>
      </c>
      <c r="AL34" s="20">
        <f>AK34/118</f>
        <v>1.58342921584901</v>
      </c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9"/>
      <c r="BN34" s="23"/>
      <c r="BO34" s="23"/>
      <c r="BP34" s="23"/>
      <c r="BQ34" s="23"/>
      <c r="BR34" s="23"/>
      <c r="BS34" s="23"/>
      <c r="BT34" s="2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</row>
    <row r="35" spans="1:139">
      <c r="A35" s="11" t="s">
        <v>97</v>
      </c>
      <c r="B35" s="12">
        <v>42.5</v>
      </c>
      <c r="C35" s="12">
        <f t="shared" si="0"/>
        <v>29.75</v>
      </c>
      <c r="D35" s="15">
        <f t="shared" si="1"/>
        <v>21.25</v>
      </c>
      <c r="E35" s="15">
        <f t="shared" si="2"/>
        <v>14.875</v>
      </c>
      <c r="F35" s="15">
        <f t="shared" si="3"/>
        <v>8.5</v>
      </c>
      <c r="G35" s="15">
        <f t="shared" si="4"/>
        <v>7.08333333333333</v>
      </c>
      <c r="H35" s="15">
        <f t="shared" si="5"/>
        <v>6.07142857142857</v>
      </c>
      <c r="I35" s="15">
        <f t="shared" si="6"/>
        <v>5.3125</v>
      </c>
      <c r="J35" s="15">
        <f t="shared" si="7"/>
        <v>4.72222222222222</v>
      </c>
      <c r="K35" s="15">
        <f t="shared" si="8"/>
        <v>4.25</v>
      </c>
      <c r="L35" s="15">
        <f t="shared" si="9"/>
        <v>3.86363636363636</v>
      </c>
      <c r="M35" s="15">
        <f t="shared" si="10"/>
        <v>3.54166666666667</v>
      </c>
      <c r="N35" s="15">
        <f t="shared" si="11"/>
        <v>3.26923076923077</v>
      </c>
      <c r="O35" s="15">
        <f t="shared" si="12"/>
        <v>3.03571428571429</v>
      </c>
      <c r="P35" s="12">
        <f t="shared" si="13"/>
        <v>2.83333333333333</v>
      </c>
      <c r="Q35" s="12">
        <f t="shared" si="14"/>
        <v>2.65625</v>
      </c>
      <c r="R35" s="12">
        <f t="shared" si="15"/>
        <v>2.5</v>
      </c>
      <c r="S35" s="12">
        <f t="shared" si="16"/>
        <v>2.36111111111111</v>
      </c>
      <c r="T35" s="12">
        <f t="shared" si="17"/>
        <v>2.23684210526316</v>
      </c>
      <c r="U35" s="12">
        <f t="shared" si="18"/>
        <v>2.125</v>
      </c>
      <c r="V35" s="12">
        <f t="shared" si="19"/>
        <v>2.02380952380952</v>
      </c>
      <c r="W35" s="12">
        <f t="shared" si="20"/>
        <v>1.93181818181818</v>
      </c>
      <c r="X35" s="12">
        <f t="shared" si="21"/>
        <v>1.84782608695652</v>
      </c>
      <c r="Y35" s="12">
        <f t="shared" si="22"/>
        <v>1.77083333333333</v>
      </c>
      <c r="Z35" s="12">
        <f t="shared" si="23"/>
        <v>1.7</v>
      </c>
      <c r="AA35" s="12">
        <f t="shared" si="24"/>
        <v>1.63461538461538</v>
      </c>
      <c r="AB35" s="12">
        <f t="shared" si="25"/>
        <v>1.57407407407407</v>
      </c>
      <c r="AC35" s="12">
        <f t="shared" si="26"/>
        <v>1.51785714285714</v>
      </c>
      <c r="AD35" s="12">
        <f t="shared" si="27"/>
        <v>1.46551724137931</v>
      </c>
      <c r="AE35" s="12">
        <f t="shared" si="28"/>
        <v>1.41666666666667</v>
      </c>
      <c r="AF35" s="12">
        <f t="shared" si="29"/>
        <v>1.37096774193548</v>
      </c>
      <c r="AG35" s="12">
        <f t="shared" si="30"/>
        <v>1.328125</v>
      </c>
      <c r="AH35" s="12">
        <f t="shared" si="31"/>
        <v>1.28787878787879</v>
      </c>
      <c r="AI35" s="12">
        <f t="shared" si="32"/>
        <v>1.25</v>
      </c>
      <c r="AJ35" s="12">
        <f t="shared" ref="AJ35:AJ59" si="33">B35/35</f>
        <v>1.21428571428571</v>
      </c>
      <c r="AK35" s="12">
        <f>B35/36</f>
        <v>1.18055555555556</v>
      </c>
      <c r="AL35" s="12">
        <f>B35/37</f>
        <v>1.14864864864865</v>
      </c>
      <c r="AM35" s="21">
        <f>SUM(B35:AL35)</f>
        <v>198.400747845754</v>
      </c>
      <c r="AN35" s="20">
        <f>AM35/124</f>
        <v>1.60000603101415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9"/>
      <c r="BN35" s="23"/>
      <c r="BO35" s="23"/>
      <c r="BP35" s="23"/>
      <c r="BQ35" s="23"/>
      <c r="BR35" s="23"/>
      <c r="BS35" s="23"/>
      <c r="BT35" s="2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</row>
    <row r="36" spans="1:139">
      <c r="A36" s="11" t="s">
        <v>98</v>
      </c>
      <c r="B36" s="12">
        <v>44.2</v>
      </c>
      <c r="C36" s="12">
        <f t="shared" si="0"/>
        <v>30.94</v>
      </c>
      <c r="D36" s="15">
        <f t="shared" si="1"/>
        <v>22.1</v>
      </c>
      <c r="E36" s="15">
        <f t="shared" si="2"/>
        <v>15.47</v>
      </c>
      <c r="F36" s="15">
        <f t="shared" si="3"/>
        <v>8.84</v>
      </c>
      <c r="G36" s="15">
        <f t="shared" si="4"/>
        <v>7.36666666666667</v>
      </c>
      <c r="H36" s="15">
        <f t="shared" si="5"/>
        <v>6.31428571428571</v>
      </c>
      <c r="I36" s="15">
        <f t="shared" si="6"/>
        <v>5.525</v>
      </c>
      <c r="J36" s="15">
        <f t="shared" si="7"/>
        <v>4.91111111111111</v>
      </c>
      <c r="K36" s="15">
        <f t="shared" si="8"/>
        <v>4.42</v>
      </c>
      <c r="L36" s="15">
        <f t="shared" si="9"/>
        <v>4.01818181818182</v>
      </c>
      <c r="M36" s="15">
        <f t="shared" si="10"/>
        <v>3.68333333333333</v>
      </c>
      <c r="N36" s="15">
        <f t="shared" si="11"/>
        <v>3.4</v>
      </c>
      <c r="O36" s="15">
        <f t="shared" si="12"/>
        <v>3.15714285714286</v>
      </c>
      <c r="P36" s="12">
        <f t="shared" si="13"/>
        <v>2.94666666666667</v>
      </c>
      <c r="Q36" s="12">
        <f t="shared" si="14"/>
        <v>2.7625</v>
      </c>
      <c r="R36" s="12">
        <f t="shared" si="15"/>
        <v>2.6</v>
      </c>
      <c r="S36" s="12">
        <f t="shared" si="16"/>
        <v>2.45555555555556</v>
      </c>
      <c r="T36" s="12">
        <f t="shared" si="17"/>
        <v>2.32631578947368</v>
      </c>
      <c r="U36" s="12">
        <f t="shared" si="18"/>
        <v>2.21</v>
      </c>
      <c r="V36" s="12">
        <f t="shared" si="19"/>
        <v>2.1047619047619</v>
      </c>
      <c r="W36" s="12">
        <f t="shared" si="20"/>
        <v>2.00909090909091</v>
      </c>
      <c r="X36" s="12">
        <f t="shared" si="21"/>
        <v>1.92173913043478</v>
      </c>
      <c r="Y36" s="12">
        <f t="shared" si="22"/>
        <v>1.84166666666667</v>
      </c>
      <c r="Z36" s="12">
        <f t="shared" si="23"/>
        <v>1.768</v>
      </c>
      <c r="AA36" s="12">
        <f t="shared" si="24"/>
        <v>1.7</v>
      </c>
      <c r="AB36" s="12">
        <f t="shared" si="25"/>
        <v>1.63703703703704</v>
      </c>
      <c r="AC36" s="12">
        <f t="shared" si="26"/>
        <v>1.57857142857143</v>
      </c>
      <c r="AD36" s="12">
        <f t="shared" si="27"/>
        <v>1.52413793103448</v>
      </c>
      <c r="AE36" s="12">
        <f t="shared" si="28"/>
        <v>1.47333333333333</v>
      </c>
      <c r="AF36" s="12">
        <f t="shared" si="29"/>
        <v>1.4258064516129</v>
      </c>
      <c r="AG36" s="12">
        <f t="shared" si="30"/>
        <v>1.38125</v>
      </c>
      <c r="AH36" s="12">
        <f t="shared" si="31"/>
        <v>1.33939393939394</v>
      </c>
      <c r="AI36" s="12">
        <f t="shared" si="32"/>
        <v>1.3</v>
      </c>
      <c r="AJ36" s="12">
        <f t="shared" si="33"/>
        <v>1.26285714285714</v>
      </c>
      <c r="AK36" s="12">
        <f t="shared" ref="AK36:AK59" si="34">B36/36</f>
        <v>1.22777777777778</v>
      </c>
      <c r="AL36" s="12">
        <f t="shared" ref="AL36:AL59" si="35">B36/37</f>
        <v>1.19459459459459</v>
      </c>
      <c r="AM36" s="12">
        <f>B36/38</f>
        <v>1.16315789473684</v>
      </c>
      <c r="AN36" s="21">
        <f>SUM(B36:AM36)</f>
        <v>207.499935654321</v>
      </c>
      <c r="AO36" s="20">
        <f>AN36/129</f>
        <v>1.60852663297923</v>
      </c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9"/>
      <c r="BN36" s="23"/>
      <c r="BO36" s="23"/>
      <c r="BP36" s="23"/>
      <c r="BQ36" s="23"/>
      <c r="BR36" s="23"/>
      <c r="BS36" s="23"/>
      <c r="BT36" s="2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</row>
    <row r="37" spans="1:139">
      <c r="A37" s="11" t="s">
        <v>99</v>
      </c>
      <c r="B37" s="12">
        <v>45.2</v>
      </c>
      <c r="C37" s="12">
        <f t="shared" si="0"/>
        <v>31.64</v>
      </c>
      <c r="D37" s="15">
        <f t="shared" si="1"/>
        <v>22.6</v>
      </c>
      <c r="E37" s="15">
        <f t="shared" si="2"/>
        <v>15.82</v>
      </c>
      <c r="F37" s="15">
        <f t="shared" si="3"/>
        <v>9.04</v>
      </c>
      <c r="G37" s="15">
        <f t="shared" si="4"/>
        <v>7.53333333333333</v>
      </c>
      <c r="H37" s="15">
        <f t="shared" si="5"/>
        <v>6.45714285714286</v>
      </c>
      <c r="I37" s="15">
        <f t="shared" si="6"/>
        <v>5.65</v>
      </c>
      <c r="J37" s="15">
        <f t="shared" si="7"/>
        <v>5.02222222222222</v>
      </c>
      <c r="K37" s="15">
        <f t="shared" si="8"/>
        <v>4.52</v>
      </c>
      <c r="L37" s="15">
        <f t="shared" si="9"/>
        <v>4.10909090909091</v>
      </c>
      <c r="M37" s="15">
        <f t="shared" si="10"/>
        <v>3.76666666666667</v>
      </c>
      <c r="N37" s="15">
        <f t="shared" si="11"/>
        <v>3.47692307692308</v>
      </c>
      <c r="O37" s="15">
        <f t="shared" si="12"/>
        <v>3.22857142857143</v>
      </c>
      <c r="P37" s="12">
        <f t="shared" si="13"/>
        <v>3.01333333333333</v>
      </c>
      <c r="Q37" s="12">
        <f t="shared" si="14"/>
        <v>2.825</v>
      </c>
      <c r="R37" s="12">
        <f t="shared" si="15"/>
        <v>2.65882352941176</v>
      </c>
      <c r="S37" s="12">
        <f t="shared" si="16"/>
        <v>2.51111111111111</v>
      </c>
      <c r="T37" s="12">
        <f t="shared" si="17"/>
        <v>2.37894736842105</v>
      </c>
      <c r="U37" s="12">
        <f t="shared" si="18"/>
        <v>2.26</v>
      </c>
      <c r="V37" s="12">
        <f t="shared" si="19"/>
        <v>2.15238095238095</v>
      </c>
      <c r="W37" s="12">
        <f t="shared" si="20"/>
        <v>2.05454545454545</v>
      </c>
      <c r="X37" s="12">
        <f t="shared" si="21"/>
        <v>1.96521739130435</v>
      </c>
      <c r="Y37" s="12">
        <f t="shared" si="22"/>
        <v>1.88333333333333</v>
      </c>
      <c r="Z37" s="12">
        <f t="shared" si="23"/>
        <v>1.808</v>
      </c>
      <c r="AA37" s="12">
        <f t="shared" si="24"/>
        <v>1.73846153846154</v>
      </c>
      <c r="AB37" s="12">
        <f t="shared" si="25"/>
        <v>1.67407407407407</v>
      </c>
      <c r="AC37" s="12">
        <f t="shared" si="26"/>
        <v>1.61428571428571</v>
      </c>
      <c r="AD37" s="12">
        <f t="shared" si="27"/>
        <v>1.55862068965517</v>
      </c>
      <c r="AE37" s="12">
        <f t="shared" si="28"/>
        <v>1.50666666666667</v>
      </c>
      <c r="AF37" s="12">
        <f t="shared" si="29"/>
        <v>1.45806451612903</v>
      </c>
      <c r="AG37" s="12">
        <f t="shared" si="30"/>
        <v>1.4125</v>
      </c>
      <c r="AH37" s="12">
        <f t="shared" si="31"/>
        <v>1.36969696969697</v>
      </c>
      <c r="AI37" s="12">
        <f t="shared" si="32"/>
        <v>1.32941176470588</v>
      </c>
      <c r="AJ37" s="12">
        <f t="shared" si="33"/>
        <v>1.29142857142857</v>
      </c>
      <c r="AK37" s="12">
        <f t="shared" si="34"/>
        <v>1.25555555555556</v>
      </c>
      <c r="AL37" s="12">
        <f t="shared" si="35"/>
        <v>1.22162162162162</v>
      </c>
      <c r="AM37" s="12">
        <f t="shared" ref="AM37:AM59" si="36">B37/38</f>
        <v>1.18947368421053</v>
      </c>
      <c r="AN37" s="12">
        <f>B37/39</f>
        <v>1.15897435897436</v>
      </c>
      <c r="AO37" s="12">
        <f>B37/40</f>
        <v>1.13</v>
      </c>
      <c r="AP37" s="21">
        <f>SUM(B37:AO37)</f>
        <v>214.483478693258</v>
      </c>
      <c r="AQ37" s="20">
        <f>AP37/134</f>
        <v>1.60062297532282</v>
      </c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9"/>
      <c r="BN37" s="23"/>
      <c r="BO37" s="23"/>
      <c r="BP37" s="23"/>
      <c r="BQ37" s="23"/>
      <c r="BR37" s="23"/>
      <c r="BS37" s="23"/>
      <c r="BT37" s="2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</row>
    <row r="38" spans="1:139">
      <c r="A38" s="11" t="s">
        <v>100</v>
      </c>
      <c r="B38" s="12">
        <v>46.5</v>
      </c>
      <c r="C38" s="12">
        <f t="shared" si="0"/>
        <v>32.55</v>
      </c>
      <c r="D38" s="15">
        <f t="shared" si="1"/>
        <v>23.25</v>
      </c>
      <c r="E38" s="15">
        <f t="shared" si="2"/>
        <v>16.275</v>
      </c>
      <c r="F38" s="15">
        <f t="shared" si="3"/>
        <v>9.3</v>
      </c>
      <c r="G38" s="15">
        <f t="shared" si="4"/>
        <v>7.75</v>
      </c>
      <c r="H38" s="15">
        <f t="shared" si="5"/>
        <v>6.64285714285714</v>
      </c>
      <c r="I38" s="15">
        <f t="shared" si="6"/>
        <v>5.8125</v>
      </c>
      <c r="J38" s="15">
        <f t="shared" si="7"/>
        <v>5.16666666666667</v>
      </c>
      <c r="K38" s="15">
        <f t="shared" si="8"/>
        <v>4.65</v>
      </c>
      <c r="L38" s="15">
        <f t="shared" si="9"/>
        <v>4.22727272727273</v>
      </c>
      <c r="M38" s="15">
        <f t="shared" si="10"/>
        <v>3.875</v>
      </c>
      <c r="N38" s="15">
        <f t="shared" si="11"/>
        <v>3.57692307692308</v>
      </c>
      <c r="O38" s="15">
        <f t="shared" si="12"/>
        <v>3.32142857142857</v>
      </c>
      <c r="P38" s="12">
        <f t="shared" si="13"/>
        <v>3.1</v>
      </c>
      <c r="Q38" s="12">
        <f t="shared" si="14"/>
        <v>2.90625</v>
      </c>
      <c r="R38" s="12">
        <f t="shared" si="15"/>
        <v>2.73529411764706</v>
      </c>
      <c r="S38" s="12">
        <f t="shared" si="16"/>
        <v>2.58333333333333</v>
      </c>
      <c r="T38" s="12">
        <f t="shared" si="17"/>
        <v>2.44736842105263</v>
      </c>
      <c r="U38" s="12">
        <f t="shared" si="18"/>
        <v>2.325</v>
      </c>
      <c r="V38" s="12">
        <f t="shared" si="19"/>
        <v>2.21428571428571</v>
      </c>
      <c r="W38" s="12">
        <f t="shared" si="20"/>
        <v>2.11363636363636</v>
      </c>
      <c r="X38" s="12">
        <f t="shared" si="21"/>
        <v>2.02173913043478</v>
      </c>
      <c r="Y38" s="12">
        <f t="shared" si="22"/>
        <v>1.9375</v>
      </c>
      <c r="Z38" s="12">
        <f t="shared" si="23"/>
        <v>1.86</v>
      </c>
      <c r="AA38" s="12">
        <f t="shared" si="24"/>
        <v>1.78846153846154</v>
      </c>
      <c r="AB38" s="12">
        <f t="shared" si="25"/>
        <v>1.72222222222222</v>
      </c>
      <c r="AC38" s="12">
        <f t="shared" si="26"/>
        <v>1.66071428571429</v>
      </c>
      <c r="AD38" s="12">
        <f t="shared" si="27"/>
        <v>1.60344827586207</v>
      </c>
      <c r="AE38" s="12">
        <f t="shared" si="28"/>
        <v>1.55</v>
      </c>
      <c r="AF38" s="12">
        <f t="shared" si="29"/>
        <v>1.5</v>
      </c>
      <c r="AG38" s="12">
        <f t="shared" si="30"/>
        <v>1.453125</v>
      </c>
      <c r="AH38" s="12">
        <f t="shared" si="31"/>
        <v>1.40909090909091</v>
      </c>
      <c r="AI38" s="12">
        <f t="shared" si="32"/>
        <v>1.36764705882353</v>
      </c>
      <c r="AJ38" s="12">
        <f t="shared" si="33"/>
        <v>1.32857142857143</v>
      </c>
      <c r="AK38" s="12">
        <f t="shared" si="34"/>
        <v>1.29166666666667</v>
      </c>
      <c r="AL38" s="12">
        <f t="shared" si="35"/>
        <v>1.25675675675676</v>
      </c>
      <c r="AM38" s="12">
        <f t="shared" si="36"/>
        <v>1.22368421052632</v>
      </c>
      <c r="AN38" s="12">
        <f t="shared" ref="AN38:AN59" si="37">B38/39</f>
        <v>1.19230769230769</v>
      </c>
      <c r="AO38" s="12">
        <f t="shared" ref="AO38:AO59" si="38">B38/40</f>
        <v>1.1625</v>
      </c>
      <c r="AP38" s="12">
        <f>B38/41</f>
        <v>1.13414634146341</v>
      </c>
      <c r="AQ38" s="21">
        <f>SUM(B38:AP38)</f>
        <v>221.786397652005</v>
      </c>
      <c r="AR38" s="20">
        <f>AQ38/139</f>
        <v>1.59558559461874</v>
      </c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9"/>
      <c r="BN38" s="23"/>
      <c r="BO38" s="23"/>
      <c r="BP38" s="23"/>
      <c r="BQ38" s="23"/>
      <c r="BR38" s="23"/>
      <c r="BS38" s="23"/>
      <c r="BT38" s="2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</row>
    <row r="39" spans="1:139">
      <c r="A39" s="11" t="s">
        <v>101</v>
      </c>
      <c r="B39" s="12">
        <v>48</v>
      </c>
      <c r="C39" s="12">
        <f t="shared" si="0"/>
        <v>33.6</v>
      </c>
      <c r="D39" s="15">
        <f t="shared" si="1"/>
        <v>24</v>
      </c>
      <c r="E39" s="15">
        <f t="shared" si="2"/>
        <v>16.8</v>
      </c>
      <c r="F39" s="15">
        <f t="shared" si="3"/>
        <v>9.6</v>
      </c>
      <c r="G39" s="15">
        <f t="shared" si="4"/>
        <v>8</v>
      </c>
      <c r="H39" s="15">
        <f t="shared" si="5"/>
        <v>6.85714285714286</v>
      </c>
      <c r="I39" s="15">
        <f t="shared" si="6"/>
        <v>6</v>
      </c>
      <c r="J39" s="15">
        <f t="shared" si="7"/>
        <v>5.33333333333333</v>
      </c>
      <c r="K39" s="15">
        <f t="shared" si="8"/>
        <v>4.8</v>
      </c>
      <c r="L39" s="15">
        <f t="shared" si="9"/>
        <v>4.36363636363636</v>
      </c>
      <c r="M39" s="15">
        <f t="shared" si="10"/>
        <v>4</v>
      </c>
      <c r="N39" s="15">
        <f t="shared" si="11"/>
        <v>3.69230769230769</v>
      </c>
      <c r="O39" s="15">
        <f t="shared" si="12"/>
        <v>3.42857142857143</v>
      </c>
      <c r="P39" s="12">
        <f t="shared" si="13"/>
        <v>3.2</v>
      </c>
      <c r="Q39" s="12">
        <f t="shared" si="14"/>
        <v>3</v>
      </c>
      <c r="R39" s="12">
        <f t="shared" si="15"/>
        <v>2.82352941176471</v>
      </c>
      <c r="S39" s="12">
        <f t="shared" si="16"/>
        <v>2.66666666666667</v>
      </c>
      <c r="T39" s="12">
        <f t="shared" si="17"/>
        <v>2.52631578947368</v>
      </c>
      <c r="U39" s="12">
        <f t="shared" si="18"/>
        <v>2.4</v>
      </c>
      <c r="V39" s="12">
        <f t="shared" si="19"/>
        <v>2.28571428571429</v>
      </c>
      <c r="W39" s="12">
        <f t="shared" si="20"/>
        <v>2.18181818181818</v>
      </c>
      <c r="X39" s="12">
        <f t="shared" si="21"/>
        <v>2.08695652173913</v>
      </c>
      <c r="Y39" s="12">
        <f t="shared" si="22"/>
        <v>2</v>
      </c>
      <c r="Z39" s="12">
        <f t="shared" si="23"/>
        <v>1.92</v>
      </c>
      <c r="AA39" s="12">
        <f t="shared" si="24"/>
        <v>1.84615384615385</v>
      </c>
      <c r="AB39" s="12">
        <f t="shared" si="25"/>
        <v>1.77777777777778</v>
      </c>
      <c r="AC39" s="12">
        <f t="shared" si="26"/>
        <v>1.71428571428571</v>
      </c>
      <c r="AD39" s="12">
        <f t="shared" si="27"/>
        <v>1.6551724137931</v>
      </c>
      <c r="AE39" s="12">
        <f t="shared" si="28"/>
        <v>1.6</v>
      </c>
      <c r="AF39" s="12">
        <f t="shared" si="29"/>
        <v>1.54838709677419</v>
      </c>
      <c r="AG39" s="12">
        <f t="shared" si="30"/>
        <v>1.5</v>
      </c>
      <c r="AH39" s="12">
        <f t="shared" si="31"/>
        <v>1.45454545454545</v>
      </c>
      <c r="AI39" s="12">
        <f t="shared" si="32"/>
        <v>1.41176470588235</v>
      </c>
      <c r="AJ39" s="12">
        <f t="shared" si="33"/>
        <v>1.37142857142857</v>
      </c>
      <c r="AK39" s="12">
        <f t="shared" si="34"/>
        <v>1.33333333333333</v>
      </c>
      <c r="AL39" s="12">
        <f t="shared" si="35"/>
        <v>1.2972972972973</v>
      </c>
      <c r="AM39" s="12">
        <f t="shared" si="36"/>
        <v>1.26315789473684</v>
      </c>
      <c r="AN39" s="12">
        <f t="shared" si="37"/>
        <v>1.23076923076923</v>
      </c>
      <c r="AO39" s="12">
        <f t="shared" si="38"/>
        <v>1.2</v>
      </c>
      <c r="AP39" s="12">
        <f t="shared" ref="AP39:AP59" si="39">B39/41</f>
        <v>1.17073170731707</v>
      </c>
      <c r="AQ39" s="12">
        <f>B39/42</f>
        <v>1.14285714285714</v>
      </c>
      <c r="AR39" s="12">
        <f>B39/43</f>
        <v>1.11627906976744</v>
      </c>
      <c r="AS39" s="21">
        <f>SUM(B39:AR39)</f>
        <v>231.199933788888</v>
      </c>
      <c r="AT39" s="20">
        <f>AS39/144</f>
        <v>1.60555509575616</v>
      </c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9"/>
      <c r="BN39" s="23"/>
      <c r="BO39" s="23"/>
      <c r="BP39" s="23"/>
      <c r="BQ39" s="23"/>
      <c r="BR39" s="23"/>
      <c r="BS39" s="23"/>
      <c r="BT39" s="2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</row>
    <row r="40" spans="1:139">
      <c r="A40" s="11" t="s">
        <v>102</v>
      </c>
      <c r="B40" s="12">
        <v>49.5</v>
      </c>
      <c r="C40" s="12">
        <f t="shared" si="0"/>
        <v>34.65</v>
      </c>
      <c r="D40" s="15">
        <f t="shared" si="1"/>
        <v>24.75</v>
      </c>
      <c r="E40" s="15">
        <f t="shared" si="2"/>
        <v>17.325</v>
      </c>
      <c r="F40" s="15">
        <f t="shared" si="3"/>
        <v>9.9</v>
      </c>
      <c r="G40" s="15">
        <f t="shared" si="4"/>
        <v>8.25</v>
      </c>
      <c r="H40" s="15">
        <f t="shared" si="5"/>
        <v>7.07142857142857</v>
      </c>
      <c r="I40" s="15">
        <f t="shared" si="6"/>
        <v>6.1875</v>
      </c>
      <c r="J40" s="15">
        <f t="shared" si="7"/>
        <v>5.5</v>
      </c>
      <c r="K40" s="15">
        <f t="shared" si="8"/>
        <v>4.95</v>
      </c>
      <c r="L40" s="15">
        <f t="shared" si="9"/>
        <v>4.5</v>
      </c>
      <c r="M40" s="15">
        <f t="shared" si="10"/>
        <v>4.125</v>
      </c>
      <c r="N40" s="15">
        <f t="shared" si="11"/>
        <v>3.80769230769231</v>
      </c>
      <c r="O40" s="15">
        <f t="shared" si="12"/>
        <v>3.53571428571429</v>
      </c>
      <c r="P40" s="12">
        <f t="shared" si="13"/>
        <v>3.3</v>
      </c>
      <c r="Q40" s="12">
        <f t="shared" si="14"/>
        <v>3.09375</v>
      </c>
      <c r="R40" s="12">
        <f t="shared" si="15"/>
        <v>2.91176470588235</v>
      </c>
      <c r="S40" s="12">
        <f t="shared" si="16"/>
        <v>2.75</v>
      </c>
      <c r="T40" s="12">
        <f t="shared" si="17"/>
        <v>2.60526315789474</v>
      </c>
      <c r="U40" s="12">
        <f t="shared" si="18"/>
        <v>2.475</v>
      </c>
      <c r="V40" s="12">
        <f t="shared" si="19"/>
        <v>2.35714285714286</v>
      </c>
      <c r="W40" s="12">
        <f t="shared" si="20"/>
        <v>2.25</v>
      </c>
      <c r="X40" s="12">
        <f t="shared" si="21"/>
        <v>2.15217391304348</v>
      </c>
      <c r="Y40" s="12">
        <f t="shared" si="22"/>
        <v>2.0625</v>
      </c>
      <c r="Z40" s="12">
        <f t="shared" si="23"/>
        <v>1.98</v>
      </c>
      <c r="AA40" s="12">
        <f t="shared" si="24"/>
        <v>1.90384615384615</v>
      </c>
      <c r="AB40" s="12">
        <f t="shared" si="25"/>
        <v>1.83333333333333</v>
      </c>
      <c r="AC40" s="12">
        <f t="shared" si="26"/>
        <v>1.76785714285714</v>
      </c>
      <c r="AD40" s="12">
        <f t="shared" si="27"/>
        <v>1.70689655172414</v>
      </c>
      <c r="AE40" s="12">
        <f t="shared" si="28"/>
        <v>1.65</v>
      </c>
      <c r="AF40" s="12">
        <f t="shared" si="29"/>
        <v>1.59677419354839</v>
      </c>
      <c r="AG40" s="12">
        <f t="shared" si="30"/>
        <v>1.546875</v>
      </c>
      <c r="AH40" s="12">
        <f t="shared" si="31"/>
        <v>1.5</v>
      </c>
      <c r="AI40" s="12">
        <f t="shared" si="32"/>
        <v>1.45588235294118</v>
      </c>
      <c r="AJ40" s="12">
        <f t="shared" si="33"/>
        <v>1.41428571428571</v>
      </c>
      <c r="AK40" s="12">
        <f t="shared" si="34"/>
        <v>1.375</v>
      </c>
      <c r="AL40" s="12">
        <f t="shared" si="35"/>
        <v>1.33783783783784</v>
      </c>
      <c r="AM40" s="12">
        <f t="shared" si="36"/>
        <v>1.30263157894737</v>
      </c>
      <c r="AN40" s="12">
        <f t="shared" si="37"/>
        <v>1.26923076923077</v>
      </c>
      <c r="AO40" s="12">
        <f t="shared" si="38"/>
        <v>1.2375</v>
      </c>
      <c r="AP40" s="12">
        <f t="shared" si="39"/>
        <v>1.20731707317073</v>
      </c>
      <c r="AQ40" s="12">
        <f t="shared" ref="AQ40:AQ59" si="40">B40/42</f>
        <v>1.17857142857143</v>
      </c>
      <c r="AR40" s="12">
        <f t="shared" ref="AR40:AR59" si="41">B40/43</f>
        <v>1.15116279069767</v>
      </c>
      <c r="AS40" s="12">
        <f>B40/44</f>
        <v>1.125</v>
      </c>
      <c r="AT40" s="21">
        <f>SUM(B40:AS40)</f>
        <v>239.54993171979</v>
      </c>
      <c r="AU40" s="20">
        <f>AT40/149</f>
        <v>1.60771766254893</v>
      </c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9"/>
      <c r="BN40" s="23"/>
      <c r="BO40" s="23"/>
      <c r="BP40" s="23"/>
      <c r="BQ40" s="23"/>
      <c r="BR40" s="23"/>
      <c r="BS40" s="23"/>
      <c r="BT40" s="2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</row>
    <row r="41" spans="1:139">
      <c r="A41" s="11" t="s">
        <v>103</v>
      </c>
      <c r="B41" s="12">
        <v>50.8</v>
      </c>
      <c r="C41" s="12">
        <f t="shared" si="0"/>
        <v>35.56</v>
      </c>
      <c r="D41" s="15">
        <f t="shared" si="1"/>
        <v>25.4</v>
      </c>
      <c r="E41" s="15">
        <f t="shared" si="2"/>
        <v>17.78</v>
      </c>
      <c r="F41" s="15">
        <f t="shared" si="3"/>
        <v>10.16</v>
      </c>
      <c r="G41" s="15">
        <f t="shared" si="4"/>
        <v>8.46666666666667</v>
      </c>
      <c r="H41" s="15">
        <f t="shared" si="5"/>
        <v>7.25714285714286</v>
      </c>
      <c r="I41" s="15">
        <f t="shared" si="6"/>
        <v>6.35</v>
      </c>
      <c r="J41" s="15">
        <f t="shared" si="7"/>
        <v>5.64444444444444</v>
      </c>
      <c r="K41" s="15">
        <f t="shared" si="8"/>
        <v>5.08</v>
      </c>
      <c r="L41" s="15">
        <f t="shared" si="9"/>
        <v>4.61818181818182</v>
      </c>
      <c r="M41" s="15">
        <f t="shared" si="10"/>
        <v>4.23333333333333</v>
      </c>
      <c r="N41" s="15">
        <f t="shared" si="11"/>
        <v>3.90769230769231</v>
      </c>
      <c r="O41" s="15">
        <f t="shared" si="12"/>
        <v>3.62857142857143</v>
      </c>
      <c r="P41" s="12">
        <f t="shared" si="13"/>
        <v>3.38666666666667</v>
      </c>
      <c r="Q41" s="12">
        <f t="shared" si="14"/>
        <v>3.175</v>
      </c>
      <c r="R41" s="12">
        <f t="shared" si="15"/>
        <v>2.98823529411765</v>
      </c>
      <c r="S41" s="12">
        <f t="shared" si="16"/>
        <v>2.82222222222222</v>
      </c>
      <c r="T41" s="12">
        <f t="shared" si="17"/>
        <v>2.67368421052632</v>
      </c>
      <c r="U41" s="12">
        <f t="shared" si="18"/>
        <v>2.54</v>
      </c>
      <c r="V41" s="12">
        <f t="shared" si="19"/>
        <v>2.41904761904762</v>
      </c>
      <c r="W41" s="12">
        <f t="shared" si="20"/>
        <v>2.30909090909091</v>
      </c>
      <c r="X41" s="12">
        <f t="shared" si="21"/>
        <v>2.20869565217391</v>
      </c>
      <c r="Y41" s="12">
        <f t="shared" si="22"/>
        <v>2.11666666666667</v>
      </c>
      <c r="Z41" s="12">
        <f t="shared" si="23"/>
        <v>2.032</v>
      </c>
      <c r="AA41" s="12">
        <f t="shared" si="24"/>
        <v>1.95384615384615</v>
      </c>
      <c r="AB41" s="12">
        <f t="shared" si="25"/>
        <v>1.88148148148148</v>
      </c>
      <c r="AC41" s="12">
        <f t="shared" si="26"/>
        <v>1.81428571428571</v>
      </c>
      <c r="AD41" s="12">
        <f t="shared" si="27"/>
        <v>1.75172413793103</v>
      </c>
      <c r="AE41" s="12">
        <f t="shared" si="28"/>
        <v>1.69333333333333</v>
      </c>
      <c r="AF41" s="12">
        <f t="shared" si="29"/>
        <v>1.63870967741935</v>
      </c>
      <c r="AG41" s="12">
        <f t="shared" si="30"/>
        <v>1.5875</v>
      </c>
      <c r="AH41" s="12">
        <f t="shared" si="31"/>
        <v>1.53939393939394</v>
      </c>
      <c r="AI41" s="12">
        <f t="shared" si="32"/>
        <v>1.49411764705882</v>
      </c>
      <c r="AJ41" s="12">
        <f t="shared" si="33"/>
        <v>1.45142857142857</v>
      </c>
      <c r="AK41" s="12">
        <f t="shared" si="34"/>
        <v>1.41111111111111</v>
      </c>
      <c r="AL41" s="12">
        <f t="shared" si="35"/>
        <v>1.37297297297297</v>
      </c>
      <c r="AM41" s="12">
        <f t="shared" si="36"/>
        <v>1.33684210526316</v>
      </c>
      <c r="AN41" s="12">
        <f t="shared" si="37"/>
        <v>1.3025641025641</v>
      </c>
      <c r="AO41" s="12">
        <f t="shared" si="38"/>
        <v>1.27</v>
      </c>
      <c r="AP41" s="12">
        <f t="shared" si="39"/>
        <v>1.2390243902439</v>
      </c>
      <c r="AQ41" s="12">
        <f t="shared" si="40"/>
        <v>1.20952380952381</v>
      </c>
      <c r="AR41" s="12">
        <f t="shared" si="41"/>
        <v>1.18139534883721</v>
      </c>
      <c r="AS41" s="12">
        <f t="shared" ref="AS41:AS59" si="42">B41/44</f>
        <v>1.15454545454545</v>
      </c>
      <c r="AT41" s="12">
        <f t="shared" ref="AT41:AT49" si="43">B41/45</f>
        <v>1.12888888888889</v>
      </c>
      <c r="AU41" s="21">
        <f>SUM(B41:AT41)</f>
        <v>246.970030936674</v>
      </c>
      <c r="AV41" s="20">
        <f>AU41/154</f>
        <v>1.60370149958879</v>
      </c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9"/>
      <c r="BN41" s="23"/>
      <c r="BO41" s="23"/>
      <c r="BP41" s="23"/>
      <c r="BQ41" s="23"/>
      <c r="BR41" s="23"/>
      <c r="BS41" s="23"/>
      <c r="BT41" s="2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</row>
    <row r="42" spans="1:139">
      <c r="A42" s="11" t="s">
        <v>104</v>
      </c>
      <c r="B42" s="12">
        <v>52</v>
      </c>
      <c r="C42" s="12">
        <f t="shared" si="0"/>
        <v>36.4</v>
      </c>
      <c r="D42" s="15">
        <f t="shared" si="1"/>
        <v>26</v>
      </c>
      <c r="E42" s="15">
        <f t="shared" si="2"/>
        <v>18.2</v>
      </c>
      <c r="F42" s="15">
        <f t="shared" si="3"/>
        <v>10.4</v>
      </c>
      <c r="G42" s="15">
        <f t="shared" si="4"/>
        <v>8.66666666666667</v>
      </c>
      <c r="H42" s="15">
        <f t="shared" si="5"/>
        <v>7.42857142857143</v>
      </c>
      <c r="I42" s="15">
        <f t="shared" si="6"/>
        <v>6.5</v>
      </c>
      <c r="J42" s="15">
        <f t="shared" si="7"/>
        <v>5.77777777777778</v>
      </c>
      <c r="K42" s="15">
        <f t="shared" si="8"/>
        <v>5.2</v>
      </c>
      <c r="L42" s="15">
        <f t="shared" si="9"/>
        <v>4.72727272727273</v>
      </c>
      <c r="M42" s="15">
        <f t="shared" si="10"/>
        <v>4.33333333333333</v>
      </c>
      <c r="N42" s="15">
        <f t="shared" si="11"/>
        <v>4</v>
      </c>
      <c r="O42" s="15">
        <f t="shared" si="12"/>
        <v>3.71428571428571</v>
      </c>
      <c r="P42" s="12">
        <f t="shared" si="13"/>
        <v>3.46666666666667</v>
      </c>
      <c r="Q42" s="12">
        <f t="shared" si="14"/>
        <v>3.25</v>
      </c>
      <c r="R42" s="12">
        <f t="shared" si="15"/>
        <v>3.05882352941176</v>
      </c>
      <c r="S42" s="12">
        <f t="shared" si="16"/>
        <v>2.88888888888889</v>
      </c>
      <c r="T42" s="12">
        <f t="shared" si="17"/>
        <v>2.73684210526316</v>
      </c>
      <c r="U42" s="12">
        <f t="shared" si="18"/>
        <v>2.6</v>
      </c>
      <c r="V42" s="12">
        <f t="shared" si="19"/>
        <v>2.47619047619048</v>
      </c>
      <c r="W42" s="12">
        <f t="shared" si="20"/>
        <v>2.36363636363636</v>
      </c>
      <c r="X42" s="12">
        <f t="shared" si="21"/>
        <v>2.26086956521739</v>
      </c>
      <c r="Y42" s="12">
        <f t="shared" si="22"/>
        <v>2.16666666666667</v>
      </c>
      <c r="Z42" s="12">
        <f t="shared" si="23"/>
        <v>2.08</v>
      </c>
      <c r="AA42" s="12">
        <f t="shared" si="24"/>
        <v>2</v>
      </c>
      <c r="AB42" s="12">
        <f t="shared" si="25"/>
        <v>1.92592592592593</v>
      </c>
      <c r="AC42" s="12">
        <f t="shared" si="26"/>
        <v>1.85714285714286</v>
      </c>
      <c r="AD42" s="12">
        <f t="shared" si="27"/>
        <v>1.79310344827586</v>
      </c>
      <c r="AE42" s="12">
        <f t="shared" si="28"/>
        <v>1.73333333333333</v>
      </c>
      <c r="AF42" s="12">
        <f t="shared" si="29"/>
        <v>1.67741935483871</v>
      </c>
      <c r="AG42" s="12">
        <f t="shared" si="30"/>
        <v>1.625</v>
      </c>
      <c r="AH42" s="12">
        <f t="shared" si="31"/>
        <v>1.57575757575758</v>
      </c>
      <c r="AI42" s="12">
        <f t="shared" si="32"/>
        <v>1.52941176470588</v>
      </c>
      <c r="AJ42" s="12">
        <f t="shared" si="33"/>
        <v>1.48571428571429</v>
      </c>
      <c r="AK42" s="12">
        <f t="shared" si="34"/>
        <v>1.44444444444444</v>
      </c>
      <c r="AL42" s="12">
        <f t="shared" si="35"/>
        <v>1.40540540540541</v>
      </c>
      <c r="AM42" s="12">
        <f t="shared" si="36"/>
        <v>1.36842105263158</v>
      </c>
      <c r="AN42" s="12">
        <f t="shared" si="37"/>
        <v>1.33333333333333</v>
      </c>
      <c r="AO42" s="12">
        <f t="shared" si="38"/>
        <v>1.3</v>
      </c>
      <c r="AP42" s="12">
        <f t="shared" si="39"/>
        <v>1.26829268292683</v>
      </c>
      <c r="AQ42" s="12">
        <f t="shared" si="40"/>
        <v>1.23809523809524</v>
      </c>
      <c r="AR42" s="12">
        <f t="shared" si="41"/>
        <v>1.2093023255814</v>
      </c>
      <c r="AS42" s="12">
        <f t="shared" si="42"/>
        <v>1.18181818181818</v>
      </c>
      <c r="AT42" s="12">
        <f t="shared" si="43"/>
        <v>1.15555555555556</v>
      </c>
      <c r="AU42" s="12">
        <f t="shared" ref="AU42:AU49" si="44">B42/46</f>
        <v>1.1304347826087</v>
      </c>
      <c r="AV42" s="12">
        <f t="shared" ref="AV42:AV49" si="45">B42/47</f>
        <v>1.1063829787234</v>
      </c>
      <c r="AW42" s="21">
        <f>SUM(B42:AV42)</f>
        <v>255.040786436668</v>
      </c>
      <c r="AX42" s="20">
        <f>AW42/159</f>
        <v>1.60403010337527</v>
      </c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9"/>
      <c r="BN42" s="23"/>
      <c r="BO42" s="23"/>
      <c r="BP42" s="23"/>
      <c r="BQ42" s="23"/>
      <c r="BR42" s="23"/>
      <c r="BS42" s="23"/>
      <c r="BT42" s="2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</row>
    <row r="43" spans="1:139">
      <c r="A43" s="11" t="s">
        <v>105</v>
      </c>
      <c r="B43" s="12">
        <v>53.2</v>
      </c>
      <c r="C43" s="12">
        <f t="shared" si="0"/>
        <v>37.24</v>
      </c>
      <c r="D43" s="15">
        <f t="shared" si="1"/>
        <v>26.6</v>
      </c>
      <c r="E43" s="15">
        <f t="shared" si="2"/>
        <v>18.62</v>
      </c>
      <c r="F43" s="15">
        <f t="shared" si="3"/>
        <v>10.64</v>
      </c>
      <c r="G43" s="15">
        <f t="shared" si="4"/>
        <v>8.86666666666667</v>
      </c>
      <c r="H43" s="15">
        <f t="shared" si="5"/>
        <v>7.6</v>
      </c>
      <c r="I43" s="15">
        <f t="shared" si="6"/>
        <v>6.65</v>
      </c>
      <c r="J43" s="15">
        <f t="shared" si="7"/>
        <v>5.91111111111111</v>
      </c>
      <c r="K43" s="15">
        <f t="shared" si="8"/>
        <v>5.32</v>
      </c>
      <c r="L43" s="15">
        <f t="shared" si="9"/>
        <v>4.83636363636364</v>
      </c>
      <c r="M43" s="15">
        <f t="shared" si="10"/>
        <v>4.43333333333333</v>
      </c>
      <c r="N43" s="15">
        <f t="shared" si="11"/>
        <v>4.09230769230769</v>
      </c>
      <c r="O43" s="15">
        <f t="shared" si="12"/>
        <v>3.8</v>
      </c>
      <c r="P43" s="12">
        <f t="shared" si="13"/>
        <v>3.54666666666667</v>
      </c>
      <c r="Q43" s="12">
        <f t="shared" si="14"/>
        <v>3.325</v>
      </c>
      <c r="R43" s="12">
        <f t="shared" si="15"/>
        <v>3.12941176470588</v>
      </c>
      <c r="S43" s="12">
        <f t="shared" si="16"/>
        <v>2.95555555555556</v>
      </c>
      <c r="T43" s="12">
        <f t="shared" si="17"/>
        <v>2.8</v>
      </c>
      <c r="U43" s="12">
        <f t="shared" si="18"/>
        <v>2.66</v>
      </c>
      <c r="V43" s="12">
        <f t="shared" si="19"/>
        <v>2.53333333333333</v>
      </c>
      <c r="W43" s="12">
        <f t="shared" si="20"/>
        <v>2.41818181818182</v>
      </c>
      <c r="X43" s="12">
        <f t="shared" si="21"/>
        <v>2.31304347826087</v>
      </c>
      <c r="Y43" s="12">
        <f t="shared" si="22"/>
        <v>2.21666666666667</v>
      </c>
      <c r="Z43" s="12">
        <f t="shared" si="23"/>
        <v>2.128</v>
      </c>
      <c r="AA43" s="12">
        <f t="shared" si="24"/>
        <v>2.04615384615385</v>
      </c>
      <c r="AB43" s="12">
        <f t="shared" si="25"/>
        <v>1.97037037037037</v>
      </c>
      <c r="AC43" s="12">
        <f t="shared" si="26"/>
        <v>1.9</v>
      </c>
      <c r="AD43" s="12">
        <f t="shared" si="27"/>
        <v>1.83448275862069</v>
      </c>
      <c r="AE43" s="12">
        <f t="shared" si="28"/>
        <v>1.77333333333333</v>
      </c>
      <c r="AF43" s="12">
        <f t="shared" si="29"/>
        <v>1.71612903225806</v>
      </c>
      <c r="AG43" s="12">
        <f t="shared" si="30"/>
        <v>1.6625</v>
      </c>
      <c r="AH43" s="12">
        <f t="shared" si="31"/>
        <v>1.61212121212121</v>
      </c>
      <c r="AI43" s="12">
        <f t="shared" si="32"/>
        <v>1.56470588235294</v>
      </c>
      <c r="AJ43" s="12">
        <f t="shared" si="33"/>
        <v>1.52</v>
      </c>
      <c r="AK43" s="12">
        <f t="shared" si="34"/>
        <v>1.47777777777778</v>
      </c>
      <c r="AL43" s="12">
        <f t="shared" si="35"/>
        <v>1.43783783783784</v>
      </c>
      <c r="AM43" s="12">
        <f t="shared" si="36"/>
        <v>1.4</v>
      </c>
      <c r="AN43" s="12">
        <f t="shared" si="37"/>
        <v>1.36410256410256</v>
      </c>
      <c r="AO43" s="12">
        <f t="shared" si="38"/>
        <v>1.33</v>
      </c>
      <c r="AP43" s="12">
        <f t="shared" si="39"/>
        <v>1.29756097560976</v>
      </c>
      <c r="AQ43" s="12">
        <f t="shared" si="40"/>
        <v>1.26666666666667</v>
      </c>
      <c r="AR43" s="12">
        <f t="shared" si="41"/>
        <v>1.23720930232558</v>
      </c>
      <c r="AS43" s="12">
        <f t="shared" si="42"/>
        <v>1.20909090909091</v>
      </c>
      <c r="AT43" s="12">
        <f t="shared" si="43"/>
        <v>1.18222222222222</v>
      </c>
      <c r="AU43" s="12">
        <f t="shared" si="44"/>
        <v>1.15652173913043</v>
      </c>
      <c r="AV43" s="12">
        <f t="shared" si="45"/>
        <v>1.13191489361702</v>
      </c>
      <c r="AW43" s="12">
        <f t="shared" ref="AW43:AW49" si="46">B43/48</f>
        <v>1.10833333333333</v>
      </c>
      <c r="AX43" s="12">
        <f t="shared" ref="AX43:AX49" si="47">B43/49</f>
        <v>1.08571428571429</v>
      </c>
      <c r="AY43" s="21">
        <f>SUM(B43:AX43)</f>
        <v>263.120390665792</v>
      </c>
      <c r="AZ43" s="20">
        <f>AY43/164</f>
        <v>1.60439262601093</v>
      </c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9"/>
      <c r="BN43" s="23"/>
      <c r="BO43" s="23"/>
      <c r="BP43" s="23"/>
      <c r="BQ43" s="23"/>
      <c r="BR43" s="23"/>
      <c r="BS43" s="23"/>
      <c r="BT43" s="2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</row>
    <row r="44" spans="1:139">
      <c r="A44" s="11" t="s">
        <v>106</v>
      </c>
      <c r="B44" s="12">
        <v>54.5</v>
      </c>
      <c r="C44" s="12">
        <f t="shared" si="0"/>
        <v>38.15</v>
      </c>
      <c r="D44" s="15">
        <f t="shared" si="1"/>
        <v>27.25</v>
      </c>
      <c r="E44" s="15">
        <f t="shared" si="2"/>
        <v>19.075</v>
      </c>
      <c r="F44" s="15">
        <f t="shared" si="3"/>
        <v>10.9</v>
      </c>
      <c r="G44" s="15">
        <f t="shared" si="4"/>
        <v>9.08333333333333</v>
      </c>
      <c r="H44" s="15">
        <f t="shared" si="5"/>
        <v>7.78571428571429</v>
      </c>
      <c r="I44" s="15">
        <f t="shared" si="6"/>
        <v>6.8125</v>
      </c>
      <c r="J44" s="15">
        <f t="shared" si="7"/>
        <v>6.05555555555556</v>
      </c>
      <c r="K44" s="15">
        <f t="shared" si="8"/>
        <v>5.45</v>
      </c>
      <c r="L44" s="15">
        <f t="shared" si="9"/>
        <v>4.95454545454545</v>
      </c>
      <c r="M44" s="15">
        <f t="shared" si="10"/>
        <v>4.54166666666667</v>
      </c>
      <c r="N44" s="15">
        <f t="shared" si="11"/>
        <v>4.19230769230769</v>
      </c>
      <c r="O44" s="15">
        <f t="shared" si="12"/>
        <v>3.89285714285714</v>
      </c>
      <c r="P44" s="12">
        <f t="shared" si="13"/>
        <v>3.63333333333333</v>
      </c>
      <c r="Q44" s="12">
        <f t="shared" si="14"/>
        <v>3.40625</v>
      </c>
      <c r="R44" s="12">
        <f t="shared" si="15"/>
        <v>3.20588235294118</v>
      </c>
      <c r="S44" s="12">
        <f t="shared" si="16"/>
        <v>3.02777777777778</v>
      </c>
      <c r="T44" s="12">
        <f t="shared" si="17"/>
        <v>2.86842105263158</v>
      </c>
      <c r="U44" s="12">
        <f t="shared" si="18"/>
        <v>2.725</v>
      </c>
      <c r="V44" s="12">
        <f t="shared" si="19"/>
        <v>2.5952380952381</v>
      </c>
      <c r="W44" s="12">
        <f t="shared" si="20"/>
        <v>2.47727272727273</v>
      </c>
      <c r="X44" s="12">
        <f t="shared" si="21"/>
        <v>2.3695652173913</v>
      </c>
      <c r="Y44" s="12">
        <f t="shared" si="22"/>
        <v>2.27083333333333</v>
      </c>
      <c r="Z44" s="12">
        <f t="shared" si="23"/>
        <v>2.18</v>
      </c>
      <c r="AA44" s="12">
        <f t="shared" si="24"/>
        <v>2.09615384615385</v>
      </c>
      <c r="AB44" s="12">
        <f t="shared" si="25"/>
        <v>2.01851851851852</v>
      </c>
      <c r="AC44" s="12">
        <f t="shared" si="26"/>
        <v>1.94642857142857</v>
      </c>
      <c r="AD44" s="12">
        <f t="shared" si="27"/>
        <v>1.87931034482759</v>
      </c>
      <c r="AE44" s="12">
        <f t="shared" si="28"/>
        <v>1.81666666666667</v>
      </c>
      <c r="AF44" s="12">
        <f t="shared" si="29"/>
        <v>1.75806451612903</v>
      </c>
      <c r="AG44" s="12">
        <f t="shared" si="30"/>
        <v>1.703125</v>
      </c>
      <c r="AH44" s="12">
        <f t="shared" si="31"/>
        <v>1.65151515151515</v>
      </c>
      <c r="AI44" s="12">
        <f t="shared" si="32"/>
        <v>1.60294117647059</v>
      </c>
      <c r="AJ44" s="12">
        <f t="shared" si="33"/>
        <v>1.55714285714286</v>
      </c>
      <c r="AK44" s="12">
        <f t="shared" si="34"/>
        <v>1.51388888888889</v>
      </c>
      <c r="AL44" s="12">
        <f t="shared" si="35"/>
        <v>1.47297297297297</v>
      </c>
      <c r="AM44" s="12">
        <f t="shared" si="36"/>
        <v>1.43421052631579</v>
      </c>
      <c r="AN44" s="12">
        <f t="shared" si="37"/>
        <v>1.3974358974359</v>
      </c>
      <c r="AO44" s="12">
        <f t="shared" si="38"/>
        <v>1.3625</v>
      </c>
      <c r="AP44" s="12">
        <f t="shared" si="39"/>
        <v>1.32926829268293</v>
      </c>
      <c r="AQ44" s="12">
        <f t="shared" si="40"/>
        <v>1.29761904761905</v>
      </c>
      <c r="AR44" s="12">
        <f t="shared" si="41"/>
        <v>1.26744186046512</v>
      </c>
      <c r="AS44" s="12">
        <f t="shared" si="42"/>
        <v>1.23863636363636</v>
      </c>
      <c r="AT44" s="12">
        <f t="shared" si="43"/>
        <v>1.21111111111111</v>
      </c>
      <c r="AU44" s="12">
        <f t="shared" si="44"/>
        <v>1.18478260869565</v>
      </c>
      <c r="AV44" s="12">
        <f t="shared" si="45"/>
        <v>1.15957446808511</v>
      </c>
      <c r="AW44" s="12">
        <f t="shared" si="46"/>
        <v>1.13541666666667</v>
      </c>
      <c r="AX44" s="12">
        <f t="shared" si="47"/>
        <v>1.11224489795918</v>
      </c>
      <c r="AY44" s="12">
        <f t="shared" ref="AY44:AY49" si="48">B44/50</f>
        <v>1.09</v>
      </c>
      <c r="AZ44" s="21">
        <f>SUM(B44:AY44)</f>
        <v>270.640024272287</v>
      </c>
      <c r="BA44" s="20">
        <f>AZ44/169</f>
        <v>1.60142026196619</v>
      </c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9"/>
      <c r="BN44" s="23"/>
      <c r="BO44" s="23"/>
      <c r="BP44" s="23"/>
      <c r="BQ44" s="23"/>
      <c r="BR44" s="23"/>
      <c r="BS44" s="23"/>
      <c r="BT44" s="2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</row>
    <row r="45" spans="1:139">
      <c r="A45" s="11" t="s">
        <v>107</v>
      </c>
      <c r="B45" s="12">
        <v>74</v>
      </c>
      <c r="C45" s="12">
        <f t="shared" si="0"/>
        <v>51.8</v>
      </c>
      <c r="D45" s="15">
        <f t="shared" si="1"/>
        <v>37</v>
      </c>
      <c r="E45" s="15">
        <f t="shared" si="2"/>
        <v>25.9</v>
      </c>
      <c r="F45" s="15">
        <f t="shared" si="3"/>
        <v>14.8</v>
      </c>
      <c r="G45" s="15">
        <f t="shared" si="4"/>
        <v>12.3333333333333</v>
      </c>
      <c r="H45" s="15">
        <f t="shared" si="5"/>
        <v>10.5714285714286</v>
      </c>
      <c r="I45" s="15">
        <f t="shared" si="6"/>
        <v>9.25</v>
      </c>
      <c r="J45" s="15">
        <f t="shared" si="7"/>
        <v>8.22222222222222</v>
      </c>
      <c r="K45" s="15">
        <f t="shared" si="8"/>
        <v>7.4</v>
      </c>
      <c r="L45" s="15">
        <f t="shared" si="9"/>
        <v>6.72727272727273</v>
      </c>
      <c r="M45" s="15">
        <f t="shared" si="10"/>
        <v>6.16666666666667</v>
      </c>
      <c r="N45" s="15">
        <f t="shared" si="11"/>
        <v>5.69230769230769</v>
      </c>
      <c r="O45" s="15">
        <f t="shared" si="12"/>
        <v>5.28571428571429</v>
      </c>
      <c r="P45" s="12">
        <f t="shared" si="13"/>
        <v>4.93333333333333</v>
      </c>
      <c r="Q45" s="12">
        <f t="shared" si="14"/>
        <v>4.625</v>
      </c>
      <c r="R45" s="12">
        <f t="shared" si="15"/>
        <v>4.35294117647059</v>
      </c>
      <c r="S45" s="12">
        <f t="shared" si="16"/>
        <v>4.11111111111111</v>
      </c>
      <c r="T45" s="12">
        <f t="shared" si="17"/>
        <v>3.89473684210526</v>
      </c>
      <c r="U45" s="12">
        <f t="shared" si="18"/>
        <v>3.7</v>
      </c>
      <c r="V45" s="12">
        <f t="shared" si="19"/>
        <v>3.52380952380952</v>
      </c>
      <c r="W45" s="12">
        <f t="shared" si="20"/>
        <v>3.36363636363636</v>
      </c>
      <c r="X45" s="12">
        <f t="shared" si="21"/>
        <v>3.21739130434783</v>
      </c>
      <c r="Y45" s="12">
        <f t="shared" si="22"/>
        <v>3.08333333333333</v>
      </c>
      <c r="Z45" s="12">
        <f t="shared" si="23"/>
        <v>2.96</v>
      </c>
      <c r="AA45" s="12">
        <f t="shared" si="24"/>
        <v>2.84615384615385</v>
      </c>
      <c r="AB45" s="12">
        <f t="shared" si="25"/>
        <v>2.74074074074074</v>
      </c>
      <c r="AC45" s="12">
        <f t="shared" si="26"/>
        <v>2.64285714285714</v>
      </c>
      <c r="AD45" s="12">
        <f t="shared" si="27"/>
        <v>2.55172413793103</v>
      </c>
      <c r="AE45" s="12">
        <f t="shared" si="28"/>
        <v>2.46666666666667</v>
      </c>
      <c r="AF45" s="12">
        <f t="shared" si="29"/>
        <v>2.38709677419355</v>
      </c>
      <c r="AG45" s="12">
        <f t="shared" si="30"/>
        <v>2.3125</v>
      </c>
      <c r="AH45" s="12">
        <f t="shared" si="31"/>
        <v>2.24242424242424</v>
      </c>
      <c r="AI45" s="12">
        <f t="shared" si="32"/>
        <v>2.17647058823529</v>
      </c>
      <c r="AJ45" s="12">
        <f t="shared" si="33"/>
        <v>2.11428571428571</v>
      </c>
      <c r="AK45" s="12">
        <f t="shared" si="34"/>
        <v>2.05555555555556</v>
      </c>
      <c r="AL45" s="12">
        <f t="shared" si="35"/>
        <v>2</v>
      </c>
      <c r="AM45" s="12">
        <f t="shared" si="36"/>
        <v>1.94736842105263</v>
      </c>
      <c r="AN45" s="12">
        <f t="shared" si="37"/>
        <v>1.8974358974359</v>
      </c>
      <c r="AO45" s="12">
        <f t="shared" si="38"/>
        <v>1.85</v>
      </c>
      <c r="AP45" s="12">
        <f t="shared" si="39"/>
        <v>1.80487804878049</v>
      </c>
      <c r="AQ45" s="12">
        <f t="shared" si="40"/>
        <v>1.76190476190476</v>
      </c>
      <c r="AR45" s="12">
        <f t="shared" si="41"/>
        <v>1.72093023255814</v>
      </c>
      <c r="AS45" s="12">
        <f t="shared" si="42"/>
        <v>1.68181818181818</v>
      </c>
      <c r="AT45" s="12">
        <f t="shared" si="43"/>
        <v>1.64444444444444</v>
      </c>
      <c r="AU45" s="12">
        <f t="shared" si="44"/>
        <v>1.60869565217391</v>
      </c>
      <c r="AV45" s="12">
        <f t="shared" si="45"/>
        <v>1.57446808510638</v>
      </c>
      <c r="AW45" s="12">
        <f t="shared" si="46"/>
        <v>1.54166666666667</v>
      </c>
      <c r="AX45" s="12">
        <f t="shared" si="47"/>
        <v>1.51020408163265</v>
      </c>
      <c r="AY45" s="12">
        <f t="shared" si="48"/>
        <v>1.48</v>
      </c>
      <c r="AZ45" s="18">
        <f t="shared" ref="AZ45:AZ49" si="49">B45/51</f>
        <v>1.45098039215686</v>
      </c>
      <c r="BA45" s="21">
        <f>SUM(B45:AY45)+25*AZ45</f>
        <v>403.749038173632</v>
      </c>
      <c r="BB45" s="20">
        <f>BA45/251</f>
        <v>1.60856190507423</v>
      </c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9"/>
      <c r="BN45" s="23"/>
      <c r="BO45" s="23"/>
      <c r="BP45" s="23"/>
      <c r="BQ45" s="23"/>
      <c r="BR45" s="23"/>
      <c r="BS45" s="23"/>
      <c r="BT45" s="2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</row>
    <row r="46" spans="1:139">
      <c r="A46" s="11" t="s">
        <v>108</v>
      </c>
      <c r="B46" s="12">
        <v>93</v>
      </c>
      <c r="C46" s="12">
        <f t="shared" si="0"/>
        <v>65.1</v>
      </c>
      <c r="D46" s="15">
        <f t="shared" si="1"/>
        <v>46.5</v>
      </c>
      <c r="E46" s="15">
        <f t="shared" si="2"/>
        <v>32.55</v>
      </c>
      <c r="F46" s="15">
        <f t="shared" si="3"/>
        <v>18.6</v>
      </c>
      <c r="G46" s="15">
        <f t="shared" si="4"/>
        <v>15.5</v>
      </c>
      <c r="H46" s="15">
        <f t="shared" si="5"/>
        <v>13.2857142857143</v>
      </c>
      <c r="I46" s="15">
        <f t="shared" si="6"/>
        <v>11.625</v>
      </c>
      <c r="J46" s="15">
        <f t="shared" si="7"/>
        <v>10.3333333333333</v>
      </c>
      <c r="K46" s="15">
        <f t="shared" si="8"/>
        <v>9.3</v>
      </c>
      <c r="L46" s="15">
        <f t="shared" si="9"/>
        <v>8.45454545454546</v>
      </c>
      <c r="M46" s="15">
        <f t="shared" si="10"/>
        <v>7.75</v>
      </c>
      <c r="N46" s="15">
        <f t="shared" si="11"/>
        <v>7.15384615384615</v>
      </c>
      <c r="O46" s="15">
        <f t="shared" si="12"/>
        <v>6.64285714285714</v>
      </c>
      <c r="P46" s="12">
        <f t="shared" si="13"/>
        <v>6.2</v>
      </c>
      <c r="Q46" s="12">
        <f t="shared" si="14"/>
        <v>5.8125</v>
      </c>
      <c r="R46" s="12">
        <f t="shared" si="15"/>
        <v>5.47058823529412</v>
      </c>
      <c r="S46" s="12">
        <f t="shared" si="16"/>
        <v>5.16666666666667</v>
      </c>
      <c r="T46" s="12">
        <f t="shared" si="17"/>
        <v>4.89473684210526</v>
      </c>
      <c r="U46" s="12">
        <f t="shared" si="18"/>
        <v>4.65</v>
      </c>
      <c r="V46" s="12">
        <f t="shared" si="19"/>
        <v>4.42857142857143</v>
      </c>
      <c r="W46" s="12">
        <f t="shared" si="20"/>
        <v>4.22727272727273</v>
      </c>
      <c r="X46" s="12">
        <f t="shared" si="21"/>
        <v>4.04347826086957</v>
      </c>
      <c r="Y46" s="12">
        <f t="shared" si="22"/>
        <v>3.875</v>
      </c>
      <c r="Z46" s="12">
        <f t="shared" si="23"/>
        <v>3.72</v>
      </c>
      <c r="AA46" s="12">
        <f t="shared" si="24"/>
        <v>3.57692307692308</v>
      </c>
      <c r="AB46" s="12">
        <f t="shared" si="25"/>
        <v>3.44444444444444</v>
      </c>
      <c r="AC46" s="12">
        <f t="shared" si="26"/>
        <v>3.32142857142857</v>
      </c>
      <c r="AD46" s="12">
        <f t="shared" si="27"/>
        <v>3.20689655172414</v>
      </c>
      <c r="AE46" s="12">
        <f t="shared" si="28"/>
        <v>3.1</v>
      </c>
      <c r="AF46" s="12">
        <f t="shared" si="29"/>
        <v>3</v>
      </c>
      <c r="AG46" s="12">
        <f t="shared" si="30"/>
        <v>2.90625</v>
      </c>
      <c r="AH46" s="12">
        <f t="shared" si="31"/>
        <v>2.81818181818182</v>
      </c>
      <c r="AI46" s="12">
        <f t="shared" si="32"/>
        <v>2.73529411764706</v>
      </c>
      <c r="AJ46" s="12">
        <f t="shared" si="33"/>
        <v>2.65714285714286</v>
      </c>
      <c r="AK46" s="12">
        <f t="shared" si="34"/>
        <v>2.58333333333333</v>
      </c>
      <c r="AL46" s="12">
        <f t="shared" si="35"/>
        <v>2.51351351351351</v>
      </c>
      <c r="AM46" s="12">
        <f t="shared" si="36"/>
        <v>2.44736842105263</v>
      </c>
      <c r="AN46" s="12">
        <f t="shared" si="37"/>
        <v>2.38461538461538</v>
      </c>
      <c r="AO46" s="12">
        <f t="shared" si="38"/>
        <v>2.325</v>
      </c>
      <c r="AP46" s="12">
        <f t="shared" si="39"/>
        <v>2.26829268292683</v>
      </c>
      <c r="AQ46" s="12">
        <f t="shared" si="40"/>
        <v>2.21428571428571</v>
      </c>
      <c r="AR46" s="12">
        <f t="shared" si="41"/>
        <v>2.16279069767442</v>
      </c>
      <c r="AS46" s="12">
        <f t="shared" si="42"/>
        <v>2.11363636363636</v>
      </c>
      <c r="AT46" s="12">
        <f t="shared" si="43"/>
        <v>2.06666666666667</v>
      </c>
      <c r="AU46" s="12">
        <f t="shared" si="44"/>
        <v>2.02173913043478</v>
      </c>
      <c r="AV46" s="12">
        <f t="shared" si="45"/>
        <v>1.97872340425532</v>
      </c>
      <c r="AW46" s="12">
        <f t="shared" si="46"/>
        <v>1.9375</v>
      </c>
      <c r="AX46" s="12">
        <f t="shared" si="47"/>
        <v>1.89795918367347</v>
      </c>
      <c r="AY46" s="12">
        <f t="shared" si="48"/>
        <v>1.86</v>
      </c>
      <c r="AZ46" s="18">
        <f t="shared" si="49"/>
        <v>1.82352941176471</v>
      </c>
      <c r="BA46" s="18">
        <f t="shared" ref="BA46:BA49" si="50">B46/76</f>
        <v>1.22368421052632</v>
      </c>
      <c r="BB46" s="21">
        <f>SUM(B46:AY46)+25*SUM(AZ46:BA46)</f>
        <v>538.006437021912</v>
      </c>
      <c r="BC46" s="20">
        <f>BB46/335</f>
        <v>1.60598936424451</v>
      </c>
      <c r="BD46" s="18"/>
      <c r="BE46" s="18"/>
      <c r="BF46" s="18"/>
      <c r="BG46" s="18"/>
      <c r="BH46" s="18"/>
      <c r="BI46" s="18"/>
      <c r="BJ46" s="18"/>
      <c r="BK46" s="18"/>
      <c r="BL46" s="18"/>
      <c r="BM46" s="19"/>
      <c r="BN46" s="23"/>
      <c r="BO46" s="23"/>
      <c r="BP46" s="23"/>
      <c r="BQ46" s="23"/>
      <c r="BR46" s="23"/>
      <c r="BS46" s="23"/>
      <c r="BT46" s="2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</row>
    <row r="47" spans="1:139">
      <c r="A47" s="11" t="s">
        <v>109</v>
      </c>
      <c r="B47" s="12">
        <v>128</v>
      </c>
      <c r="C47" s="12">
        <f t="shared" si="0"/>
        <v>89.6</v>
      </c>
      <c r="D47" s="15">
        <f t="shared" si="1"/>
        <v>64</v>
      </c>
      <c r="E47" s="15">
        <f t="shared" si="2"/>
        <v>44.8</v>
      </c>
      <c r="F47" s="15">
        <f t="shared" si="3"/>
        <v>25.6</v>
      </c>
      <c r="G47" s="15">
        <f t="shared" si="4"/>
        <v>21.3333333333333</v>
      </c>
      <c r="H47" s="15">
        <f t="shared" si="5"/>
        <v>18.2857142857143</v>
      </c>
      <c r="I47" s="15">
        <f t="shared" si="6"/>
        <v>16</v>
      </c>
      <c r="J47" s="15">
        <f t="shared" si="7"/>
        <v>14.2222222222222</v>
      </c>
      <c r="K47" s="15">
        <f t="shared" si="8"/>
        <v>12.8</v>
      </c>
      <c r="L47" s="15">
        <f t="shared" si="9"/>
        <v>11.6363636363636</v>
      </c>
      <c r="M47" s="15">
        <f t="shared" si="10"/>
        <v>10.6666666666667</v>
      </c>
      <c r="N47" s="15">
        <f t="shared" si="11"/>
        <v>9.84615384615385</v>
      </c>
      <c r="O47" s="15">
        <f t="shared" si="12"/>
        <v>9.14285714285714</v>
      </c>
      <c r="P47" s="12">
        <f t="shared" si="13"/>
        <v>8.53333333333333</v>
      </c>
      <c r="Q47" s="12">
        <f t="shared" si="14"/>
        <v>8</v>
      </c>
      <c r="R47" s="12">
        <f t="shared" si="15"/>
        <v>7.52941176470588</v>
      </c>
      <c r="S47" s="12">
        <f t="shared" si="16"/>
        <v>7.11111111111111</v>
      </c>
      <c r="T47" s="12">
        <f t="shared" si="17"/>
        <v>6.73684210526316</v>
      </c>
      <c r="U47" s="12">
        <f t="shared" si="18"/>
        <v>6.4</v>
      </c>
      <c r="V47" s="12">
        <f t="shared" si="19"/>
        <v>6.09523809523809</v>
      </c>
      <c r="W47" s="12">
        <f t="shared" si="20"/>
        <v>5.81818181818182</v>
      </c>
      <c r="X47" s="12">
        <f t="shared" si="21"/>
        <v>5.56521739130435</v>
      </c>
      <c r="Y47" s="12">
        <f t="shared" si="22"/>
        <v>5.33333333333333</v>
      </c>
      <c r="Z47" s="12">
        <f t="shared" si="23"/>
        <v>5.12</v>
      </c>
      <c r="AA47" s="12">
        <f t="shared" si="24"/>
        <v>4.92307692307692</v>
      </c>
      <c r="AB47" s="12">
        <f t="shared" si="25"/>
        <v>4.74074074074074</v>
      </c>
      <c r="AC47" s="12">
        <f t="shared" si="26"/>
        <v>4.57142857142857</v>
      </c>
      <c r="AD47" s="12">
        <f t="shared" si="27"/>
        <v>4.41379310344828</v>
      </c>
      <c r="AE47" s="12">
        <f t="shared" si="28"/>
        <v>4.26666666666667</v>
      </c>
      <c r="AF47" s="12">
        <f t="shared" si="29"/>
        <v>4.12903225806452</v>
      </c>
      <c r="AG47" s="12">
        <f t="shared" si="30"/>
        <v>4</v>
      </c>
      <c r="AH47" s="12">
        <f t="shared" si="31"/>
        <v>3.87878787878788</v>
      </c>
      <c r="AI47" s="12">
        <f t="shared" si="32"/>
        <v>3.76470588235294</v>
      </c>
      <c r="AJ47" s="12">
        <f t="shared" si="33"/>
        <v>3.65714285714286</v>
      </c>
      <c r="AK47" s="12">
        <f t="shared" si="34"/>
        <v>3.55555555555556</v>
      </c>
      <c r="AL47" s="12">
        <f t="shared" si="35"/>
        <v>3.45945945945946</v>
      </c>
      <c r="AM47" s="12">
        <f t="shared" si="36"/>
        <v>3.36842105263158</v>
      </c>
      <c r="AN47" s="12">
        <f t="shared" si="37"/>
        <v>3.28205128205128</v>
      </c>
      <c r="AO47" s="12">
        <f t="shared" si="38"/>
        <v>3.2</v>
      </c>
      <c r="AP47" s="12">
        <f t="shared" si="39"/>
        <v>3.1219512195122</v>
      </c>
      <c r="AQ47" s="12">
        <f t="shared" si="40"/>
        <v>3.04761904761905</v>
      </c>
      <c r="AR47" s="12">
        <f t="shared" si="41"/>
        <v>2.97674418604651</v>
      </c>
      <c r="AS47" s="12">
        <f t="shared" si="42"/>
        <v>2.90909090909091</v>
      </c>
      <c r="AT47" s="12">
        <f t="shared" si="43"/>
        <v>2.84444444444444</v>
      </c>
      <c r="AU47" s="12">
        <f t="shared" si="44"/>
        <v>2.78260869565217</v>
      </c>
      <c r="AV47" s="12">
        <f t="shared" si="45"/>
        <v>2.72340425531915</v>
      </c>
      <c r="AW47" s="12">
        <f t="shared" si="46"/>
        <v>2.66666666666667</v>
      </c>
      <c r="AX47" s="12">
        <f t="shared" si="47"/>
        <v>2.61224489795918</v>
      </c>
      <c r="AY47" s="12">
        <f t="shared" si="48"/>
        <v>2.56</v>
      </c>
      <c r="AZ47" s="18">
        <f t="shared" si="49"/>
        <v>2.50980392156863</v>
      </c>
      <c r="BA47" s="18">
        <f t="shared" si="50"/>
        <v>1.68421052631579</v>
      </c>
      <c r="BB47" s="18">
        <f t="shared" ref="BB47:BB49" si="51">B47/101</f>
        <v>1.26732673267327</v>
      </c>
      <c r="BC47" s="21">
        <f>SUM(B47:AY47)+25*SUM(AZ47:BA47)+50*BB47</f>
        <v>803.848314470274</v>
      </c>
      <c r="BD47" s="20">
        <f>BC47/500</f>
        <v>1.60769662894055</v>
      </c>
      <c r="BE47" s="18"/>
      <c r="BF47" s="18"/>
      <c r="BG47" s="18"/>
      <c r="BH47" s="18"/>
      <c r="BI47" s="18"/>
      <c r="BJ47" s="18"/>
      <c r="BK47" s="18"/>
      <c r="BL47" s="18"/>
      <c r="BM47" s="19"/>
      <c r="BN47" s="23"/>
      <c r="BO47" s="23"/>
      <c r="BP47" s="23"/>
      <c r="BQ47" s="23"/>
      <c r="BR47" s="23"/>
      <c r="BS47" s="23"/>
      <c r="BT47" s="2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</row>
    <row r="48" spans="1:139">
      <c r="A48" s="11" t="s">
        <v>110</v>
      </c>
      <c r="B48" s="12">
        <v>163</v>
      </c>
      <c r="C48" s="12">
        <f t="shared" si="0"/>
        <v>114.1</v>
      </c>
      <c r="D48" s="15">
        <f t="shared" si="1"/>
        <v>81.5</v>
      </c>
      <c r="E48" s="15">
        <f t="shared" si="2"/>
        <v>57.05</v>
      </c>
      <c r="F48" s="15">
        <f t="shared" si="3"/>
        <v>32.6</v>
      </c>
      <c r="G48" s="15">
        <f t="shared" si="4"/>
        <v>27.1666666666667</v>
      </c>
      <c r="H48" s="15">
        <f t="shared" si="5"/>
        <v>23.2857142857143</v>
      </c>
      <c r="I48" s="15">
        <f t="shared" si="6"/>
        <v>20.375</v>
      </c>
      <c r="J48" s="15">
        <f t="shared" si="7"/>
        <v>18.1111111111111</v>
      </c>
      <c r="K48" s="15">
        <f t="shared" si="8"/>
        <v>16.3</v>
      </c>
      <c r="L48" s="15">
        <f t="shared" si="9"/>
        <v>14.8181818181818</v>
      </c>
      <c r="M48" s="15">
        <f t="shared" si="10"/>
        <v>13.5833333333333</v>
      </c>
      <c r="N48" s="15">
        <f t="shared" si="11"/>
        <v>12.5384615384615</v>
      </c>
      <c r="O48" s="15">
        <f t="shared" si="12"/>
        <v>11.6428571428571</v>
      </c>
      <c r="P48" s="12">
        <f t="shared" si="13"/>
        <v>10.8666666666667</v>
      </c>
      <c r="Q48" s="12">
        <f t="shared" si="14"/>
        <v>10.1875</v>
      </c>
      <c r="R48" s="12">
        <f t="shared" si="15"/>
        <v>9.58823529411765</v>
      </c>
      <c r="S48" s="12">
        <f t="shared" si="16"/>
        <v>9.05555555555556</v>
      </c>
      <c r="T48" s="12">
        <f t="shared" si="17"/>
        <v>8.57894736842105</v>
      </c>
      <c r="U48" s="12">
        <f t="shared" si="18"/>
        <v>8.15</v>
      </c>
      <c r="V48" s="12">
        <f t="shared" si="19"/>
        <v>7.76190476190476</v>
      </c>
      <c r="W48" s="12">
        <f t="shared" si="20"/>
        <v>7.40909090909091</v>
      </c>
      <c r="X48" s="12">
        <f t="shared" si="21"/>
        <v>7.08695652173913</v>
      </c>
      <c r="Y48" s="12">
        <f t="shared" si="22"/>
        <v>6.79166666666667</v>
      </c>
      <c r="Z48" s="12">
        <f t="shared" si="23"/>
        <v>6.52</v>
      </c>
      <c r="AA48" s="12">
        <f t="shared" si="24"/>
        <v>6.26923076923077</v>
      </c>
      <c r="AB48" s="12">
        <f t="shared" si="25"/>
        <v>6.03703703703704</v>
      </c>
      <c r="AC48" s="12">
        <f t="shared" si="26"/>
        <v>5.82142857142857</v>
      </c>
      <c r="AD48" s="12">
        <f t="shared" si="27"/>
        <v>5.62068965517241</v>
      </c>
      <c r="AE48" s="12">
        <f t="shared" si="28"/>
        <v>5.43333333333333</v>
      </c>
      <c r="AF48" s="12">
        <f t="shared" si="29"/>
        <v>5.25806451612903</v>
      </c>
      <c r="AG48" s="12">
        <f t="shared" si="30"/>
        <v>5.09375</v>
      </c>
      <c r="AH48" s="12">
        <f t="shared" si="31"/>
        <v>4.93939393939394</v>
      </c>
      <c r="AI48" s="12">
        <f t="shared" si="32"/>
        <v>4.79411764705882</v>
      </c>
      <c r="AJ48" s="12">
        <f t="shared" si="33"/>
        <v>4.65714285714286</v>
      </c>
      <c r="AK48" s="12">
        <f t="shared" si="34"/>
        <v>4.52777777777778</v>
      </c>
      <c r="AL48" s="12">
        <f t="shared" si="35"/>
        <v>4.40540540540541</v>
      </c>
      <c r="AM48" s="12">
        <f t="shared" si="36"/>
        <v>4.28947368421053</v>
      </c>
      <c r="AN48" s="12">
        <f t="shared" si="37"/>
        <v>4.17948717948718</v>
      </c>
      <c r="AO48" s="12">
        <f t="shared" si="38"/>
        <v>4.075</v>
      </c>
      <c r="AP48" s="12">
        <f t="shared" si="39"/>
        <v>3.97560975609756</v>
      </c>
      <c r="AQ48" s="12">
        <f t="shared" si="40"/>
        <v>3.88095238095238</v>
      </c>
      <c r="AR48" s="12">
        <f t="shared" si="41"/>
        <v>3.7906976744186</v>
      </c>
      <c r="AS48" s="12">
        <f t="shared" si="42"/>
        <v>3.70454545454545</v>
      </c>
      <c r="AT48" s="12">
        <f t="shared" si="43"/>
        <v>3.62222222222222</v>
      </c>
      <c r="AU48" s="12">
        <f t="shared" si="44"/>
        <v>3.54347826086957</v>
      </c>
      <c r="AV48" s="12">
        <f t="shared" si="45"/>
        <v>3.46808510638298</v>
      </c>
      <c r="AW48" s="12">
        <f t="shared" si="46"/>
        <v>3.39583333333333</v>
      </c>
      <c r="AX48" s="12">
        <f t="shared" si="47"/>
        <v>3.3265306122449</v>
      </c>
      <c r="AY48" s="12">
        <f t="shared" si="48"/>
        <v>3.26</v>
      </c>
      <c r="AZ48" s="18">
        <f t="shared" si="49"/>
        <v>3.19607843137255</v>
      </c>
      <c r="BA48" s="18">
        <f t="shared" si="50"/>
        <v>2.14473684210526</v>
      </c>
      <c r="BB48" s="18">
        <f t="shared" si="51"/>
        <v>1.61386138613861</v>
      </c>
      <c r="BC48" s="18">
        <f>B48/151</f>
        <v>1.0794701986755</v>
      </c>
      <c r="BD48" s="21">
        <f>SUM(B48:AY48)+25*SUM(AZ48:BA48)+50*SUM(BB48:BC48)</f>
        <v>1077.62409789201</v>
      </c>
      <c r="BE48" s="20">
        <f>BD48/670</f>
        <v>1.60839417595823</v>
      </c>
      <c r="BF48" s="18"/>
      <c r="BG48" s="18"/>
      <c r="BH48" s="18"/>
      <c r="BI48" s="18"/>
      <c r="BJ48" s="18"/>
      <c r="BK48" s="18"/>
      <c r="BL48" s="18"/>
      <c r="BM48" s="19"/>
      <c r="BN48" s="23"/>
      <c r="BO48" s="23"/>
      <c r="BP48" s="23"/>
      <c r="BQ48" s="23"/>
      <c r="BR48" s="23"/>
      <c r="BS48" s="23"/>
      <c r="BT48" s="2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</row>
    <row r="49" s="2" customFormat="1" spans="1:139">
      <c r="A49" s="16" t="s">
        <v>111</v>
      </c>
      <c r="B49" s="17">
        <v>226</v>
      </c>
      <c r="C49" s="17">
        <f t="shared" si="0"/>
        <v>158.2</v>
      </c>
      <c r="D49" s="17">
        <f t="shared" si="1"/>
        <v>113</v>
      </c>
      <c r="E49" s="17">
        <f t="shared" si="2"/>
        <v>79.1</v>
      </c>
      <c r="F49" s="17">
        <f t="shared" si="3"/>
        <v>45.2</v>
      </c>
      <c r="G49" s="17">
        <f t="shared" si="4"/>
        <v>37.6666666666667</v>
      </c>
      <c r="H49" s="17">
        <f t="shared" si="5"/>
        <v>32.2857142857143</v>
      </c>
      <c r="I49" s="17">
        <f t="shared" si="6"/>
        <v>28.25</v>
      </c>
      <c r="J49" s="17">
        <f t="shared" si="7"/>
        <v>25.1111111111111</v>
      </c>
      <c r="K49" s="17">
        <f t="shared" si="8"/>
        <v>22.6</v>
      </c>
      <c r="L49" s="17">
        <f t="shared" si="9"/>
        <v>20.5454545454545</v>
      </c>
      <c r="M49" s="17">
        <f t="shared" si="10"/>
        <v>18.8333333333333</v>
      </c>
      <c r="N49" s="17">
        <f t="shared" si="11"/>
        <v>17.3846153846154</v>
      </c>
      <c r="O49" s="17">
        <f t="shared" si="12"/>
        <v>16.1428571428571</v>
      </c>
      <c r="P49" s="17">
        <f t="shared" si="13"/>
        <v>15.0666666666667</v>
      </c>
      <c r="Q49" s="17">
        <f t="shared" si="14"/>
        <v>14.125</v>
      </c>
      <c r="R49" s="17">
        <f t="shared" si="15"/>
        <v>13.2941176470588</v>
      </c>
      <c r="S49" s="17">
        <f t="shared" si="16"/>
        <v>12.5555555555556</v>
      </c>
      <c r="T49" s="17">
        <f t="shared" si="17"/>
        <v>11.8947368421053</v>
      </c>
      <c r="U49" s="17">
        <f t="shared" si="18"/>
        <v>11.3</v>
      </c>
      <c r="V49" s="17">
        <f t="shared" si="19"/>
        <v>10.7619047619048</v>
      </c>
      <c r="W49" s="17">
        <f t="shared" si="20"/>
        <v>10.2727272727273</v>
      </c>
      <c r="X49" s="17">
        <f t="shared" si="21"/>
        <v>9.82608695652174</v>
      </c>
      <c r="Y49" s="17">
        <f t="shared" si="22"/>
        <v>9.41666666666667</v>
      </c>
      <c r="Z49" s="17">
        <f t="shared" si="23"/>
        <v>9.04</v>
      </c>
      <c r="AA49" s="17">
        <f t="shared" si="24"/>
        <v>8.69230769230769</v>
      </c>
      <c r="AB49" s="17">
        <f t="shared" si="25"/>
        <v>8.37037037037037</v>
      </c>
      <c r="AC49" s="17">
        <f t="shared" si="26"/>
        <v>8.07142857142857</v>
      </c>
      <c r="AD49" s="17">
        <f t="shared" si="27"/>
        <v>7.79310344827586</v>
      </c>
      <c r="AE49" s="17">
        <f t="shared" si="28"/>
        <v>7.53333333333333</v>
      </c>
      <c r="AF49" s="17">
        <f t="shared" si="29"/>
        <v>7.29032258064516</v>
      </c>
      <c r="AG49" s="17">
        <f t="shared" si="30"/>
        <v>7.0625</v>
      </c>
      <c r="AH49" s="17">
        <f t="shared" si="31"/>
        <v>6.84848484848485</v>
      </c>
      <c r="AI49" s="17">
        <f t="shared" si="32"/>
        <v>6.64705882352941</v>
      </c>
      <c r="AJ49" s="17">
        <f t="shared" si="33"/>
        <v>6.45714285714286</v>
      </c>
      <c r="AK49" s="17">
        <f t="shared" si="34"/>
        <v>6.27777777777778</v>
      </c>
      <c r="AL49" s="17">
        <f t="shared" si="35"/>
        <v>6.10810810810811</v>
      </c>
      <c r="AM49" s="17">
        <f t="shared" si="36"/>
        <v>5.94736842105263</v>
      </c>
      <c r="AN49" s="17">
        <f t="shared" si="37"/>
        <v>5.79487179487179</v>
      </c>
      <c r="AO49" s="17">
        <f t="shared" si="38"/>
        <v>5.65</v>
      </c>
      <c r="AP49" s="17">
        <f t="shared" si="39"/>
        <v>5.51219512195122</v>
      </c>
      <c r="AQ49" s="17">
        <f t="shared" si="40"/>
        <v>5.38095238095238</v>
      </c>
      <c r="AR49" s="17">
        <f t="shared" si="41"/>
        <v>5.25581395348837</v>
      </c>
      <c r="AS49" s="17">
        <f t="shared" si="42"/>
        <v>5.13636363636364</v>
      </c>
      <c r="AT49" s="17">
        <f t="shared" si="43"/>
        <v>5.02222222222222</v>
      </c>
      <c r="AU49" s="17">
        <f t="shared" si="44"/>
        <v>4.91304347826087</v>
      </c>
      <c r="AV49" s="17">
        <f t="shared" si="45"/>
        <v>4.80851063829787</v>
      </c>
      <c r="AW49" s="17">
        <f t="shared" si="46"/>
        <v>4.70833333333333</v>
      </c>
      <c r="AX49" s="17">
        <f t="shared" si="47"/>
        <v>4.61224489795918</v>
      </c>
      <c r="AY49" s="17">
        <f t="shared" si="48"/>
        <v>4.52</v>
      </c>
      <c r="AZ49" s="16">
        <f t="shared" si="49"/>
        <v>4.43137254901961</v>
      </c>
      <c r="BA49" s="16">
        <f t="shared" si="50"/>
        <v>2.97368421052632</v>
      </c>
      <c r="BB49" s="16">
        <f t="shared" si="51"/>
        <v>2.23762376237624</v>
      </c>
      <c r="BC49" s="16">
        <f>B49/151</f>
        <v>1.49668874172185</v>
      </c>
      <c r="BD49" s="16">
        <f>B49/201</f>
        <v>1.12437810945274</v>
      </c>
      <c r="BE49" s="21">
        <f>SUM(B49:AY49)+25*SUM(AZ49:BA49)+50*SUM(BB49:BC49)+100*BD49</f>
        <v>1606.56692826794</v>
      </c>
      <c r="BF49" s="20">
        <f>BE49/1000</f>
        <v>1.60656692826794</v>
      </c>
      <c r="BG49" s="18"/>
      <c r="BH49" s="18"/>
      <c r="BI49" s="18"/>
      <c r="BJ49" s="18"/>
      <c r="BK49" s="18"/>
      <c r="BL49" s="18"/>
      <c r="BM49" s="23"/>
      <c r="BN49" s="23"/>
      <c r="BO49" s="23"/>
      <c r="BP49" s="23"/>
      <c r="BQ49" s="23"/>
      <c r="BR49" s="23"/>
      <c r="BS49" s="23"/>
      <c r="BT49" s="2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</row>
    <row r="50" spans="1:139">
      <c r="A50" s="11" t="s">
        <v>112</v>
      </c>
      <c r="B50" s="12">
        <f>B49*1.1</f>
        <v>248.6</v>
      </c>
      <c r="C50" s="12">
        <f t="shared" ref="C50:C52" si="52">B50*0.7*1.2</f>
        <v>208.824</v>
      </c>
      <c r="D50" s="15">
        <f>B50/2*1.3</f>
        <v>161.59</v>
      </c>
      <c r="E50" s="15">
        <f>B50*0.35*1.3</f>
        <v>113.113</v>
      </c>
      <c r="F50" s="15">
        <f>B50/5*1.3</f>
        <v>64.636</v>
      </c>
      <c r="G50" s="15">
        <f>B50/6*1.3</f>
        <v>53.8633333333333</v>
      </c>
      <c r="H50" s="15">
        <f>B50/7*1.3</f>
        <v>46.1685714285714</v>
      </c>
      <c r="I50" s="15">
        <f>B50/8*1.3</f>
        <v>40.3975</v>
      </c>
      <c r="J50" s="15">
        <f>B50/9*1.3</f>
        <v>35.9088888888889</v>
      </c>
      <c r="K50" s="15">
        <f>B50/10*1.3</f>
        <v>32.318</v>
      </c>
      <c r="L50" s="15">
        <f>B50/11*1.3</f>
        <v>29.38</v>
      </c>
      <c r="M50" s="15">
        <f>B50/12*1.3</f>
        <v>26.9316666666667</v>
      </c>
      <c r="N50" s="15">
        <f>B50/13*1.3</f>
        <v>24.86</v>
      </c>
      <c r="O50" s="15">
        <f>B50/14*1.3</f>
        <v>23.0842857142857</v>
      </c>
      <c r="P50" s="12">
        <f>B50/15*1.3</f>
        <v>21.5453333333333</v>
      </c>
      <c r="Q50" s="12">
        <f>B50/16*1.3</f>
        <v>20.19875</v>
      </c>
      <c r="R50" s="12">
        <f>B50/17*1.3</f>
        <v>19.0105882352941</v>
      </c>
      <c r="S50" s="12">
        <f>B50/18*1.3</f>
        <v>17.9544444444444</v>
      </c>
      <c r="T50" s="12">
        <f>B50/19*1.3</f>
        <v>17.0094736842105</v>
      </c>
      <c r="U50" s="12">
        <f>B50/20*1.3</f>
        <v>16.159</v>
      </c>
      <c r="V50" s="12">
        <f>B50/21*1.3</f>
        <v>15.3895238095238</v>
      </c>
      <c r="W50" s="12">
        <f>B50/22*1.3</f>
        <v>14.69</v>
      </c>
      <c r="X50" s="12">
        <f>B50/23*1.3</f>
        <v>14.0513043478261</v>
      </c>
      <c r="Y50" s="12">
        <f>B50/24*1.3</f>
        <v>13.4658333333333</v>
      </c>
      <c r="Z50" s="12">
        <f>B50/25*1.3</f>
        <v>12.9272</v>
      </c>
      <c r="AA50" s="12">
        <f>B50/26*1.3</f>
        <v>12.43</v>
      </c>
      <c r="AB50" s="12">
        <f>B50/27*1.3</f>
        <v>11.9696296296296</v>
      </c>
      <c r="AC50" s="12">
        <f>B50/28*1.3</f>
        <v>11.5421428571429</v>
      </c>
      <c r="AD50" s="12">
        <f>B50/29*1.3</f>
        <v>11.1441379310345</v>
      </c>
      <c r="AE50" s="12">
        <f>B50/30*1.3</f>
        <v>10.7726666666667</v>
      </c>
      <c r="AF50" s="12">
        <f>B50/31*1.3</f>
        <v>10.4251612903226</v>
      </c>
      <c r="AG50" s="12">
        <f>B50/32*1.3</f>
        <v>10.099375</v>
      </c>
      <c r="AH50" s="12">
        <f>B50/33*1.3</f>
        <v>9.79333333333333</v>
      </c>
      <c r="AI50" s="12">
        <f>B50/34*1.2</f>
        <v>8.77411764705882</v>
      </c>
      <c r="AJ50" s="12">
        <f>B50/35*1.2</f>
        <v>8.52342857142857</v>
      </c>
      <c r="AK50" s="12">
        <f>B50/36*1.2</f>
        <v>8.28666666666667</v>
      </c>
      <c r="AL50" s="12">
        <f>B50/37*1.2</f>
        <v>8.0627027027027</v>
      </c>
      <c r="AM50" s="12">
        <f>B50/38*1.2</f>
        <v>7.85052631578947</v>
      </c>
      <c r="AN50" s="12">
        <f>B50/39*1.2</f>
        <v>7.64923076923077</v>
      </c>
      <c r="AO50" s="12">
        <f>B50/40*1.2</f>
        <v>7.458</v>
      </c>
      <c r="AP50" s="12">
        <f>B50/41*1.2</f>
        <v>7.27609756097561</v>
      </c>
      <c r="AQ50" s="12">
        <f>B50/42*1.2</f>
        <v>7.10285714285714</v>
      </c>
      <c r="AR50" s="12">
        <f>B50/43*1.2</f>
        <v>6.93767441860465</v>
      </c>
      <c r="AS50" s="12">
        <f>B50/44*1.2</f>
        <v>6.78</v>
      </c>
      <c r="AT50" s="12">
        <f>B50/45*1.2</f>
        <v>6.62933333333333</v>
      </c>
      <c r="AU50" s="12">
        <f>B50/46*1.2</f>
        <v>6.48521739130435</v>
      </c>
      <c r="AV50" s="12">
        <f>B50/47*1.2</f>
        <v>6.34723404255319</v>
      </c>
      <c r="AW50" s="12">
        <f>B50/48*1.2</f>
        <v>6.215</v>
      </c>
      <c r="AX50" s="12">
        <f>B50/49*1.2</f>
        <v>6.08816326530612</v>
      </c>
      <c r="AY50" s="12">
        <f>B50/50*1.2</f>
        <v>5.9664</v>
      </c>
      <c r="AZ50" s="18">
        <f>B50/51*1.2</f>
        <v>5.84941176470588</v>
      </c>
      <c r="BA50" s="18">
        <f>B50/76*1.2</f>
        <v>3.92526315789474</v>
      </c>
      <c r="BB50" s="18">
        <f>B50/101*1.2</f>
        <v>2.95366336633663</v>
      </c>
      <c r="BC50" s="18">
        <f>B50/151*1.2</f>
        <v>1.97562913907285</v>
      </c>
      <c r="BD50" s="18">
        <f>B50/201*1.2</f>
        <v>1.48417910447761</v>
      </c>
      <c r="BE50" s="18">
        <f>B50/301*1.2</f>
        <v>0.99109634551495</v>
      </c>
      <c r="BF50" s="21">
        <f>SUM(B50:AY50)+25*SUM(AZ50:BA50)+50*SUM(BB50:BC50)+100*SUM(BD50:BE50)</f>
        <v>2241.0448370904</v>
      </c>
      <c r="BG50" s="20">
        <f>BF50/1400</f>
        <v>1.60074631220743</v>
      </c>
      <c r="BH50" s="18"/>
      <c r="BI50" s="18"/>
      <c r="BJ50" s="18"/>
      <c r="BK50" s="18"/>
      <c r="BL50" s="18"/>
      <c r="BM50" s="19"/>
      <c r="BN50" s="23"/>
      <c r="BO50" s="23"/>
      <c r="BP50" s="23"/>
      <c r="BQ50" s="23"/>
      <c r="BR50" s="23"/>
      <c r="BS50" s="23"/>
      <c r="BT50" s="2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</row>
    <row r="51" spans="1:139">
      <c r="A51" s="11" t="s">
        <v>113</v>
      </c>
      <c r="B51" s="12">
        <f t="shared" ref="B51:B56" si="53">B50*1.15</f>
        <v>285.89</v>
      </c>
      <c r="C51" s="12">
        <f t="shared" si="52"/>
        <v>240.1476</v>
      </c>
      <c r="D51" s="15">
        <f>B51/2*1.2</f>
        <v>171.534</v>
      </c>
      <c r="E51" s="15">
        <f>B51*0.35*1.2</f>
        <v>120.0738</v>
      </c>
      <c r="F51" s="15">
        <f>B51/5*1.2</f>
        <v>68.6136</v>
      </c>
      <c r="G51" s="15">
        <f>B51/6*1.2</f>
        <v>57.178</v>
      </c>
      <c r="H51" s="15">
        <f>B51/7*1.2</f>
        <v>49.0097142857143</v>
      </c>
      <c r="I51" s="15">
        <f>B51/8*1.2</f>
        <v>42.8835</v>
      </c>
      <c r="J51" s="15">
        <f>B51/9*1.2</f>
        <v>38.1186666666667</v>
      </c>
      <c r="K51" s="15">
        <f>B51/10*1.2</f>
        <v>34.3068</v>
      </c>
      <c r="L51" s="15">
        <f>B51/11*1.2</f>
        <v>31.188</v>
      </c>
      <c r="M51" s="15">
        <f>B51/12*1.2</f>
        <v>28.589</v>
      </c>
      <c r="N51" s="15">
        <f>B51/13*1.2</f>
        <v>26.3898461538462</v>
      </c>
      <c r="O51" s="15">
        <f>B51/14*1.2</f>
        <v>24.5048571428571</v>
      </c>
      <c r="P51" s="12">
        <f>B51/15*1.2</f>
        <v>22.8712</v>
      </c>
      <c r="Q51" s="12">
        <f>B51/16*1.2</f>
        <v>21.44175</v>
      </c>
      <c r="R51" s="12">
        <f>B51/17*1.2</f>
        <v>20.1804705882353</v>
      </c>
      <c r="S51" s="12">
        <f>B51/18*1.2</f>
        <v>19.0593333333333</v>
      </c>
      <c r="T51" s="12">
        <f>B51/19*1.2</f>
        <v>18.0562105263158</v>
      </c>
      <c r="U51" s="12">
        <f>B51/20*1.2</f>
        <v>17.1534</v>
      </c>
      <c r="V51" s="12">
        <f>B51/21*1.2</f>
        <v>16.3365714285714</v>
      </c>
      <c r="W51" s="12">
        <f>B51/22*1.2</f>
        <v>15.594</v>
      </c>
      <c r="X51" s="12">
        <f>B51/23*1.2</f>
        <v>14.916</v>
      </c>
      <c r="Y51" s="12">
        <f>B51/24*1.2</f>
        <v>14.2945</v>
      </c>
      <c r="Z51" s="12">
        <f>B51/25*1.2</f>
        <v>13.72272</v>
      </c>
      <c r="AA51" s="12">
        <f>B51/26*1.2</f>
        <v>13.1949230769231</v>
      </c>
      <c r="AB51" s="12">
        <f>B51/27*1.2</f>
        <v>12.7062222222222</v>
      </c>
      <c r="AC51" s="12">
        <f>B51/28*1.2</f>
        <v>12.2524285714286</v>
      </c>
      <c r="AD51" s="12">
        <f>B51/29*1.2</f>
        <v>11.8299310344828</v>
      </c>
      <c r="AE51" s="12">
        <f>B51/30*1.2</f>
        <v>11.4356</v>
      </c>
      <c r="AF51" s="12">
        <f>B51/31*1.2</f>
        <v>11.0667096774194</v>
      </c>
      <c r="AG51" s="12">
        <f>B51/32*1.2</f>
        <v>10.720875</v>
      </c>
      <c r="AH51" s="12">
        <f>B51/33*1.2</f>
        <v>10.396</v>
      </c>
      <c r="AI51" s="12">
        <f>B51/34*1.2</f>
        <v>10.0902352941176</v>
      </c>
      <c r="AJ51" s="12">
        <f>B51/35*1.2</f>
        <v>9.80194285714286</v>
      </c>
      <c r="AK51" s="12">
        <f>B51/36*1.2</f>
        <v>9.52966666666667</v>
      </c>
      <c r="AL51" s="12">
        <f>B51/37*1.2</f>
        <v>9.27210810810811</v>
      </c>
      <c r="AM51" s="12">
        <f>B51/38*1.2</f>
        <v>9.02810526315789</v>
      </c>
      <c r="AN51" s="12">
        <f>B51/39*1.2</f>
        <v>8.79661538461538</v>
      </c>
      <c r="AO51" s="12">
        <f>B51/40*1.2</f>
        <v>8.5767</v>
      </c>
      <c r="AP51" s="12">
        <f>B51/41*1.2</f>
        <v>8.36751219512195</v>
      </c>
      <c r="AQ51" s="12">
        <f>B51/42*1.2</f>
        <v>8.16828571428571</v>
      </c>
      <c r="AR51" s="12">
        <f>B51/43*1.2</f>
        <v>7.97832558139535</v>
      </c>
      <c r="AS51" s="12">
        <f>B51/44*1.2</f>
        <v>7.797</v>
      </c>
      <c r="AT51" s="12">
        <f>B51/45*1.2</f>
        <v>7.62373333333333</v>
      </c>
      <c r="AU51" s="12">
        <f>B51/46*1.2</f>
        <v>7.458</v>
      </c>
      <c r="AV51" s="12">
        <f>B51/47*1.2</f>
        <v>7.29931914893617</v>
      </c>
      <c r="AW51" s="12">
        <f>B51/48*1.2</f>
        <v>7.14725</v>
      </c>
      <c r="AX51" s="12">
        <f>B51/49*1.2</f>
        <v>7.00138775510204</v>
      </c>
      <c r="AY51" s="12">
        <f>B51/50*1.2</f>
        <v>6.86136</v>
      </c>
      <c r="AZ51" s="18">
        <f>B51/51*1.1</f>
        <v>6.16625490196078</v>
      </c>
      <c r="BA51" s="18">
        <f>B51/76*1.1</f>
        <v>4.13788157894737</v>
      </c>
      <c r="BB51" s="18">
        <f>B51/101*1.1</f>
        <v>3.11365346534653</v>
      </c>
      <c r="BC51" s="18">
        <f>B51/151*1.1</f>
        <v>2.08264238410596</v>
      </c>
      <c r="BD51" s="18">
        <f>B51/201*1.1</f>
        <v>1.56457213930348</v>
      </c>
      <c r="BE51" s="18">
        <f>B51/301*1.1</f>
        <v>1.04478073089701</v>
      </c>
      <c r="BF51" s="18">
        <f>B51/401</f>
        <v>0.712942643391521</v>
      </c>
      <c r="BG51" s="21">
        <f>SUM(B51:AY51)+25*SUM(AZ51:BA51)+50*SUM(BB51:BC51)+100*SUM(BD51:BF51)</f>
        <v>2496.10153286453</v>
      </c>
      <c r="BH51" s="20">
        <f>BG51/1550</f>
        <v>1.61038808571905</v>
      </c>
      <c r="BI51" s="18"/>
      <c r="BJ51" s="18"/>
      <c r="BK51" s="18"/>
      <c r="BL51" s="18"/>
      <c r="BM51" s="19"/>
      <c r="BN51" s="23"/>
      <c r="BO51" s="23"/>
      <c r="BP51" s="23"/>
      <c r="BQ51" s="23"/>
      <c r="BR51" s="23"/>
      <c r="BS51" s="23"/>
      <c r="BT51" s="2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</row>
    <row r="52" s="3" customFormat="1" spans="1:72">
      <c r="A52" s="18" t="s">
        <v>114</v>
      </c>
      <c r="B52" s="12">
        <f t="shared" si="53"/>
        <v>328.7735</v>
      </c>
      <c r="C52" s="12">
        <f t="shared" si="52"/>
        <v>276.16974</v>
      </c>
      <c r="D52" s="12">
        <f>B52/2*1.3</f>
        <v>213.702775</v>
      </c>
      <c r="E52" s="12">
        <f>B52*0.35*1.3</f>
        <v>149.5919425</v>
      </c>
      <c r="F52" s="12">
        <f>B52/5*1.3</f>
        <v>85.48111</v>
      </c>
      <c r="G52" s="12">
        <f>B52/6*1.3</f>
        <v>71.2342583333333</v>
      </c>
      <c r="H52" s="12">
        <f>B52/7*1.3</f>
        <v>61.0579357142857</v>
      </c>
      <c r="I52" s="12">
        <f>B52/8*1.3</f>
        <v>53.42569375</v>
      </c>
      <c r="J52" s="12">
        <f>B52/9*1.2</f>
        <v>43.8364666666667</v>
      </c>
      <c r="K52" s="12">
        <f>B52/10*1.3</f>
        <v>42.740555</v>
      </c>
      <c r="L52" s="12">
        <f>B52/11*1.3</f>
        <v>38.85505</v>
      </c>
      <c r="M52" s="12">
        <f>B52/12*1.3</f>
        <v>35.6171291666667</v>
      </c>
      <c r="N52" s="12">
        <f>B52/13*1.3</f>
        <v>32.87735</v>
      </c>
      <c r="O52" s="12">
        <f>B52/14*1.3</f>
        <v>30.5289678571429</v>
      </c>
      <c r="P52" s="12">
        <f>B52/15*1.3</f>
        <v>28.4937033333333</v>
      </c>
      <c r="Q52" s="12">
        <f>B52/16*1.3</f>
        <v>26.712846875</v>
      </c>
      <c r="R52" s="12">
        <f>B52/17*1.3</f>
        <v>25.1415029411765</v>
      </c>
      <c r="S52" s="12">
        <f>B52/18*1.3</f>
        <v>23.7447527777778</v>
      </c>
      <c r="T52" s="12">
        <f>B52/19*1.3</f>
        <v>22.4950289473684</v>
      </c>
      <c r="U52" s="12">
        <f>B52/20*1.3</f>
        <v>21.3702775</v>
      </c>
      <c r="V52" s="12">
        <f>B52/21*1.3</f>
        <v>20.3526452380952</v>
      </c>
      <c r="W52" s="12">
        <f>B52/22*1.3</f>
        <v>19.427525</v>
      </c>
      <c r="X52" s="12">
        <f>B52/23*1.3</f>
        <v>18.58285</v>
      </c>
      <c r="Y52" s="12">
        <f>B52/24*1.3</f>
        <v>17.8085645833333</v>
      </c>
      <c r="Z52" s="12">
        <f>B52/25*1.3</f>
        <v>17.096222</v>
      </c>
      <c r="AA52" s="12">
        <f>B52/26*1.3</f>
        <v>16.438675</v>
      </c>
      <c r="AB52" s="12">
        <f>B52/27*1.3</f>
        <v>15.8298351851852</v>
      </c>
      <c r="AC52" s="12">
        <f>B52/28*1.3</f>
        <v>15.2644839285714</v>
      </c>
      <c r="AD52" s="12">
        <f>B52/29*1.3</f>
        <v>14.7381224137931</v>
      </c>
      <c r="AE52" s="12">
        <f>B52/30*1.3</f>
        <v>14.2468516666667</v>
      </c>
      <c r="AF52" s="12">
        <f>B52/31*1.3</f>
        <v>13.7872758064516</v>
      </c>
      <c r="AG52" s="12">
        <f>B52/32*1.3</f>
        <v>13.3564234375</v>
      </c>
      <c r="AH52" s="12">
        <f>B52/33*1.3</f>
        <v>12.9516833333333</v>
      </c>
      <c r="AI52" s="12">
        <f>B52/34*1.3</f>
        <v>12.5707514705882</v>
      </c>
      <c r="AJ52" s="12">
        <f>B52/35*1.3</f>
        <v>12.2115871428571</v>
      </c>
      <c r="AK52" s="12">
        <f>B52/36*1.3</f>
        <v>11.8723763888889</v>
      </c>
      <c r="AL52" s="12">
        <f>B52/37*1.3</f>
        <v>11.5515013513513</v>
      </c>
      <c r="AM52" s="12">
        <f>B52/38*1.3</f>
        <v>11.2475144736842</v>
      </c>
      <c r="AN52" s="12">
        <f>B52/39*1.3</f>
        <v>10.9591166666667</v>
      </c>
      <c r="AO52" s="12">
        <f>B52/40*1.3</f>
        <v>10.68513875</v>
      </c>
      <c r="AP52" s="12">
        <f>B52/41*1.3</f>
        <v>10.4245256097561</v>
      </c>
      <c r="AQ52" s="12">
        <f>B52/42*1.3</f>
        <v>10.1763226190476</v>
      </c>
      <c r="AR52" s="12">
        <f>B52/43*1.3</f>
        <v>9.93966395348837</v>
      </c>
      <c r="AS52" s="12">
        <f>B52/44*1.3</f>
        <v>9.7137625</v>
      </c>
      <c r="AT52" s="12">
        <f>B52/45*1.3</f>
        <v>9.49790111111111</v>
      </c>
      <c r="AU52" s="12">
        <f>B52/46*1.3</f>
        <v>9.291425</v>
      </c>
      <c r="AV52" s="12">
        <f>B52/47*1.3</f>
        <v>9.09373510638298</v>
      </c>
      <c r="AW52" s="12">
        <f>B52/48*1.3</f>
        <v>8.90428229166667</v>
      </c>
      <c r="AX52" s="12">
        <f>B52/49*1.3</f>
        <v>8.72256224489796</v>
      </c>
      <c r="AY52" s="12">
        <f>B52/50*1.3</f>
        <v>8.548111</v>
      </c>
      <c r="AZ52" s="18">
        <f>B52/51*1.3</f>
        <v>8.38050098039216</v>
      </c>
      <c r="BA52" s="18">
        <f>B52/76*1.3</f>
        <v>5.62375723684211</v>
      </c>
      <c r="BB52" s="18">
        <f>B52/101*1.2</f>
        <v>3.9062198019802</v>
      </c>
      <c r="BC52" s="18">
        <f>B52/151*1.2</f>
        <v>2.61276953642384</v>
      </c>
      <c r="BD52" s="18">
        <f>B52/201*1.1</f>
        <v>1.799257960199</v>
      </c>
      <c r="BE52" s="18">
        <f>B52/301*1.1</f>
        <v>1.20149784053156</v>
      </c>
      <c r="BF52" s="18">
        <f>B52/401</f>
        <v>0.819884039900249</v>
      </c>
      <c r="BG52" s="18">
        <f>B52/501</f>
        <v>0.656234530938124</v>
      </c>
      <c r="BH52" s="21">
        <f>SUM(B52:AY52)+25*SUM(AZ52:BA52)+50*SUM(BB52:BC52)+100*SUM(BD52:BF52)+250*BG52</f>
        <v>3219.32056078474</v>
      </c>
      <c r="BI52" s="20">
        <f>BH52/2000</f>
        <v>1.60966028039237</v>
      </c>
      <c r="BJ52" s="18"/>
      <c r="BK52" s="18"/>
      <c r="BL52" s="18"/>
      <c r="BM52" s="23"/>
      <c r="BN52" s="23"/>
      <c r="BO52" s="23"/>
      <c r="BP52" s="23"/>
      <c r="BQ52" s="23"/>
      <c r="BR52" s="23"/>
      <c r="BS52" s="23"/>
      <c r="BT52" s="23"/>
    </row>
    <row r="53" s="3" customFormat="1" spans="1:72">
      <c r="A53" s="18" t="s">
        <v>115</v>
      </c>
      <c r="B53" s="12">
        <f t="shared" si="53"/>
        <v>378.089525</v>
      </c>
      <c r="C53" s="12">
        <f t="shared" ref="C53:C57" si="54">B53*0.7*1.3</f>
        <v>344.06146775</v>
      </c>
      <c r="D53" s="12">
        <f>B53/2*1.5</f>
        <v>283.56714375</v>
      </c>
      <c r="E53" s="12">
        <f>B53*0.35*1.7</f>
        <v>224.963267375</v>
      </c>
      <c r="F53" s="12">
        <f>B53/5*1.7</f>
        <v>128.5504385</v>
      </c>
      <c r="G53" s="12">
        <f>B53/6*1.7</f>
        <v>107.125365416667</v>
      </c>
      <c r="H53" s="12">
        <f>B53/7*1.7</f>
        <v>91.8217417857143</v>
      </c>
      <c r="I53" s="12">
        <f>B53/8*1.7</f>
        <v>80.3440240625</v>
      </c>
      <c r="J53" s="12">
        <f>B53/9*1.7</f>
        <v>71.4169102777778</v>
      </c>
      <c r="K53" s="12">
        <f>B53/10*1.7</f>
        <v>64.27521925</v>
      </c>
      <c r="L53" s="12">
        <f>B53/11*1.7</f>
        <v>58.4320175</v>
      </c>
      <c r="M53" s="12">
        <f>B53/12*1.7</f>
        <v>53.5626827083333</v>
      </c>
      <c r="N53" s="12">
        <f>B53/13*1.7</f>
        <v>49.4424763461538</v>
      </c>
      <c r="O53" s="12">
        <f>B53/14*1.7</f>
        <v>45.9108708928571</v>
      </c>
      <c r="P53" s="12">
        <f>B53/15*1.7</f>
        <v>42.8501461666667</v>
      </c>
      <c r="Q53" s="12">
        <f>B53/16*1.7</f>
        <v>40.17201203125</v>
      </c>
      <c r="R53" s="12">
        <f>B53/17*1.5</f>
        <v>33.3608404411765</v>
      </c>
      <c r="S53" s="12">
        <f>B53/18*1.7</f>
        <v>35.7084551388889</v>
      </c>
      <c r="T53" s="12">
        <f>B53/19*1.7</f>
        <v>33.8290627631579</v>
      </c>
      <c r="U53" s="12">
        <f>B53/20*1.7</f>
        <v>32.137609625</v>
      </c>
      <c r="V53" s="12">
        <f>B53/21*1.7</f>
        <v>30.6072472619048</v>
      </c>
      <c r="W53" s="12">
        <f>B53/22*1.7</f>
        <v>29.21600875</v>
      </c>
      <c r="X53" s="12">
        <f>B53/23*1.7</f>
        <v>27.9457475</v>
      </c>
      <c r="Y53" s="12">
        <f>B53/24*1.7</f>
        <v>26.7813413541667</v>
      </c>
      <c r="Z53" s="12">
        <f>B53/25*1.7</f>
        <v>25.7100877</v>
      </c>
      <c r="AA53" s="12">
        <f>B53/26*1.7</f>
        <v>24.7212381730769</v>
      </c>
      <c r="AB53" s="12">
        <f>B53/27*1.7</f>
        <v>23.8056367592593</v>
      </c>
      <c r="AC53" s="12">
        <f>B53/28*1.7</f>
        <v>22.9554354464286</v>
      </c>
      <c r="AD53" s="12">
        <f>B53/29*1.7</f>
        <v>22.1638687068965</v>
      </c>
      <c r="AE53" s="12">
        <f>B53/30*1.7</f>
        <v>21.4250730833333</v>
      </c>
      <c r="AF53" s="12">
        <f>B53/31*1.7</f>
        <v>20.7339416935484</v>
      </c>
      <c r="AG53" s="12">
        <f>B53/32*1.7</f>
        <v>20.086006015625</v>
      </c>
      <c r="AH53" s="12">
        <f>B53/33*1.7</f>
        <v>19.4773391666667</v>
      </c>
      <c r="AI53" s="12">
        <f>B53/34*1.7</f>
        <v>18.90447625</v>
      </c>
      <c r="AJ53" s="12">
        <f>B53/35*1.7</f>
        <v>18.3643483571429</v>
      </c>
      <c r="AK53" s="12">
        <f>B53/36*1.7</f>
        <v>17.8542275694444</v>
      </c>
      <c r="AL53" s="12">
        <f>B53/37*1.7</f>
        <v>17.3716808783784</v>
      </c>
      <c r="AM53" s="12">
        <f>B53/38*1.7</f>
        <v>16.9145313815789</v>
      </c>
      <c r="AN53" s="12">
        <f>B53/39*1.7</f>
        <v>16.4808254487179</v>
      </c>
      <c r="AO53" s="12">
        <f>B53/40*1.7</f>
        <v>16.0688048125</v>
      </c>
      <c r="AP53" s="12">
        <f>B53/41*1.7</f>
        <v>15.6768827439024</v>
      </c>
      <c r="AQ53" s="12">
        <f>B53/42*1.6</f>
        <v>14.4034104761905</v>
      </c>
      <c r="AR53" s="12">
        <f>B53/43*1.6</f>
        <v>14.0684474418605</v>
      </c>
      <c r="AS53" s="12">
        <f>B53/44*1.6</f>
        <v>13.74871</v>
      </c>
      <c r="AT53" s="12">
        <f>B53/45*1.6</f>
        <v>13.4431831111111</v>
      </c>
      <c r="AU53" s="12">
        <f>B53/46*1.6</f>
        <v>13.15094</v>
      </c>
      <c r="AV53" s="12">
        <f>B53/47*1.6</f>
        <v>12.8711327659574</v>
      </c>
      <c r="AW53" s="12">
        <f>B53/48*1.6</f>
        <v>12.6029841666667</v>
      </c>
      <c r="AX53" s="12">
        <f>B53/49*1.6</f>
        <v>12.3457804081633</v>
      </c>
      <c r="AY53" s="12">
        <f>B53/50*1.6</f>
        <v>12.0988648</v>
      </c>
      <c r="AZ53" s="18">
        <f>B53/51*1.6</f>
        <v>11.8616321568627</v>
      </c>
      <c r="BA53" s="18">
        <f>B53/76*1.5</f>
        <v>7.46229325657895</v>
      </c>
      <c r="BB53" s="18">
        <f>B53/101*1.5</f>
        <v>5.61519096534653</v>
      </c>
      <c r="BC53" s="18">
        <f>B53/151*1.5</f>
        <v>3.75585620860927</v>
      </c>
      <c r="BD53" s="18">
        <f>B53/201*1.5</f>
        <v>2.82156361940298</v>
      </c>
      <c r="BE53" s="18">
        <f>B53/301*1.5</f>
        <v>1.88416706810631</v>
      </c>
      <c r="BF53" s="18">
        <f>B53/401*1.5</f>
        <v>1.41429996882793</v>
      </c>
      <c r="BG53" s="18">
        <f>B53/501*1.5</f>
        <v>1.13200456586826</v>
      </c>
      <c r="BH53" s="18">
        <f>B53/751*1.5</f>
        <v>0.75517215379494</v>
      </c>
      <c r="BI53" s="21">
        <f>SUM(B53:AY53)+25*SUM(AZ53:BA53)+50*SUM(BB53:BC53)+100*SUM(BD53:BF53)+250*SUM(BG53:BH53)</f>
        <v>4807.06721858702</v>
      </c>
      <c r="BJ53" s="20">
        <f>BI53/3000</f>
        <v>1.60235573952901</v>
      </c>
      <c r="BK53" s="18"/>
      <c r="BL53" s="18"/>
      <c r="BM53" s="23"/>
      <c r="BN53" s="23"/>
      <c r="BO53" s="23"/>
      <c r="BP53" s="23"/>
      <c r="BQ53" s="23"/>
      <c r="BR53" s="23"/>
      <c r="BS53" s="23"/>
      <c r="BT53" s="23"/>
    </row>
    <row r="54" spans="1:139">
      <c r="A54" s="6" t="s">
        <v>116</v>
      </c>
      <c r="B54" s="12">
        <f t="shared" si="53"/>
        <v>434.80295375</v>
      </c>
      <c r="C54" s="12">
        <f t="shared" si="54"/>
        <v>395.6706879125</v>
      </c>
      <c r="D54" s="12">
        <f>B54/2*1.6</f>
        <v>347.842363</v>
      </c>
      <c r="E54" s="12">
        <f>B54*0.35*1.9</f>
        <v>289.14396424375</v>
      </c>
      <c r="F54" s="12">
        <f>B54/5*1.9</f>
        <v>165.225122425</v>
      </c>
      <c r="G54" s="12">
        <f>B54/6*1.9</f>
        <v>137.687602020833</v>
      </c>
      <c r="H54" s="12">
        <f>B54/7*1.9</f>
        <v>118.017944589286</v>
      </c>
      <c r="I54" s="12">
        <f>B54/8*1.9</f>
        <v>103.265701515625</v>
      </c>
      <c r="J54" s="12">
        <f>B54/9*1.9</f>
        <v>91.7917346805555</v>
      </c>
      <c r="K54" s="12">
        <f>B54/10*1.9</f>
        <v>82.6125612125</v>
      </c>
      <c r="L54" s="12">
        <f>B54/11*1.9</f>
        <v>75.102328375</v>
      </c>
      <c r="M54" s="12">
        <f>B54/12*1.9</f>
        <v>68.8438010104166</v>
      </c>
      <c r="N54" s="12">
        <f>B54/13*1.9</f>
        <v>63.5481240096154</v>
      </c>
      <c r="O54" s="12">
        <f>B54/14*1.9</f>
        <v>59.0089722946428</v>
      </c>
      <c r="P54" s="12">
        <f>B54/15*1.9</f>
        <v>55.0750408083333</v>
      </c>
      <c r="Q54" s="12">
        <f>B54/16*1.9</f>
        <v>51.6328507578125</v>
      </c>
      <c r="R54" s="12">
        <f>B54/17*1.9</f>
        <v>48.595624242647</v>
      </c>
      <c r="S54" s="12">
        <f>B54/18*1.9</f>
        <v>45.8958673402778</v>
      </c>
      <c r="T54" s="12">
        <f>B54/19*1.9</f>
        <v>43.480295375</v>
      </c>
      <c r="U54" s="12">
        <f>B54/20*1.9</f>
        <v>41.30628060625</v>
      </c>
      <c r="V54" s="12">
        <f>B54/21*1.9</f>
        <v>39.3393148630952</v>
      </c>
      <c r="W54" s="12">
        <f>B54/22*1.9</f>
        <v>37.5511641875</v>
      </c>
      <c r="X54" s="12">
        <f>B54/23*1.9</f>
        <v>35.918504875</v>
      </c>
      <c r="Y54" s="12">
        <f>B54/24*1.9</f>
        <v>34.4219005052083</v>
      </c>
      <c r="Z54" s="12">
        <f>B54/25*1.9</f>
        <v>33.045024485</v>
      </c>
      <c r="AA54" s="12">
        <f>B54/26*1.9</f>
        <v>31.7740620048077</v>
      </c>
      <c r="AB54" s="12">
        <f>B54/27*1.9</f>
        <v>30.5972448935185</v>
      </c>
      <c r="AC54" s="12">
        <f>B54/28*1.9</f>
        <v>29.5044861473214</v>
      </c>
      <c r="AD54" s="12">
        <f>B54/29*1.9</f>
        <v>28.4870900732759</v>
      </c>
      <c r="AE54" s="12">
        <f>B54/30*1.9</f>
        <v>27.5375204041667</v>
      </c>
      <c r="AF54" s="12">
        <f>B54/31*1.9</f>
        <v>26.6492132943548</v>
      </c>
      <c r="AG54" s="12">
        <f>B54/32*1.9</f>
        <v>25.8164253789062</v>
      </c>
      <c r="AH54" s="12">
        <f>B54/33*1.9</f>
        <v>25.0341094583333</v>
      </c>
      <c r="AI54" s="12">
        <f>B54/34*1.9</f>
        <v>24.2978121213235</v>
      </c>
      <c r="AJ54" s="12">
        <f>B54/35*1.9</f>
        <v>23.6035889178571</v>
      </c>
      <c r="AK54" s="12">
        <f>B54/36*1.9</f>
        <v>22.9479336701389</v>
      </c>
      <c r="AL54" s="12">
        <f>B54/37*1.9</f>
        <v>22.3277192466216</v>
      </c>
      <c r="AM54" s="12">
        <f>B54/38*1.9</f>
        <v>21.7401476875</v>
      </c>
      <c r="AN54" s="12">
        <f>B54/39*1.9</f>
        <v>21.1827080032051</v>
      </c>
      <c r="AO54" s="12">
        <f>B54/40*1.9</f>
        <v>20.653140303125</v>
      </c>
      <c r="AP54" s="12">
        <f>B54/41*1.9</f>
        <v>20.1494051737805</v>
      </c>
      <c r="AQ54" s="12">
        <f>B54/42*1.9</f>
        <v>19.6696574315476</v>
      </c>
      <c r="AR54" s="12">
        <f>B54/43*1.9</f>
        <v>19.2122235377907</v>
      </c>
      <c r="AS54" s="12">
        <f>B54/44*1.9</f>
        <v>18.77558209375</v>
      </c>
      <c r="AT54" s="12">
        <f>B54/45*1.9</f>
        <v>18.3583469361111</v>
      </c>
      <c r="AU54" s="12">
        <f>B54/46*1.9</f>
        <v>17.9592524375</v>
      </c>
      <c r="AV54" s="12">
        <f>B54/47*1.9</f>
        <v>17.5771406835106</v>
      </c>
      <c r="AW54" s="12">
        <f>B54/48*1.9</f>
        <v>17.2109502526042</v>
      </c>
      <c r="AX54" s="12">
        <f>B54/49*1.9</f>
        <v>16.8597063698979</v>
      </c>
      <c r="AY54" s="12">
        <f>B54/50*1.9</f>
        <v>16.5225122425</v>
      </c>
      <c r="AZ54" s="18">
        <f>B54/51*1.9</f>
        <v>16.1985414142157</v>
      </c>
      <c r="BA54" s="18">
        <f>B54/76*1.9</f>
        <v>10.87007384375</v>
      </c>
      <c r="BB54" s="18">
        <f>B54/101*1.9</f>
        <v>8.17946150618812</v>
      </c>
      <c r="BC54" s="18">
        <f>B54/151*1.9</f>
        <v>5.47103054387417</v>
      </c>
      <c r="BD54" s="18">
        <f>B54/201*1.9</f>
        <v>4.11007767226368</v>
      </c>
      <c r="BE54" s="18">
        <f>B54/301*1.9</f>
        <v>2.74460336254153</v>
      </c>
      <c r="BF54" s="18">
        <f>B54/401*1.8</f>
        <v>1.95173395698254</v>
      </c>
      <c r="BG54" s="18">
        <f>B54/501*1.8</f>
        <v>1.5621663008982</v>
      </c>
      <c r="BH54" s="18">
        <f>B54/751*1.8</f>
        <v>1.04213757223702</v>
      </c>
      <c r="BI54" s="18">
        <f>B54/1001*1.7</f>
        <v>0.73842659478022</v>
      </c>
      <c r="BJ54" s="21">
        <f>SUM(B54:AY54)+25*SUM(AZ54:BA54)+50*SUM(BB54:BC54)+100*SUM(BD54:BF54)+250*SUM(BG54:BH54)+500*BI54</f>
        <v>6723.44445665424</v>
      </c>
      <c r="BK54" s="20">
        <f>BJ54/4200</f>
        <v>1.6008201087272</v>
      </c>
      <c r="BL54" s="18"/>
      <c r="BM54" s="19"/>
      <c r="BN54" s="23"/>
      <c r="BO54" s="23"/>
      <c r="BP54" s="23"/>
      <c r="BQ54" s="23"/>
      <c r="BR54" s="23"/>
      <c r="BS54" s="23"/>
      <c r="BT54" s="2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</row>
    <row r="55" s="3" customFormat="1" spans="1:72">
      <c r="A55" s="18" t="s">
        <v>117</v>
      </c>
      <c r="B55" s="12">
        <f t="shared" si="53"/>
        <v>500.0233968125</v>
      </c>
      <c r="C55" s="12">
        <f t="shared" si="54"/>
        <v>455.021291099375</v>
      </c>
      <c r="D55" s="12">
        <f>B55/2*1.6</f>
        <v>400.01871745</v>
      </c>
      <c r="E55" s="12">
        <f>B55*0.35*2.1</f>
        <v>367.517196657187</v>
      </c>
      <c r="F55" s="12">
        <f>B55/5*2.4</f>
        <v>240.01123047</v>
      </c>
      <c r="G55" s="12">
        <f>B55/6*2.4</f>
        <v>200.009358725</v>
      </c>
      <c r="H55" s="12">
        <f>B55/7*2.4</f>
        <v>171.436593192857</v>
      </c>
      <c r="I55" s="12">
        <f>B55/8*2.4</f>
        <v>150.00701904375</v>
      </c>
      <c r="J55" s="12">
        <f>B55/9*2.4</f>
        <v>133.339572483333</v>
      </c>
      <c r="K55" s="12">
        <f>B55/10*2.4</f>
        <v>120.005615235</v>
      </c>
      <c r="L55" s="12">
        <f>B55/11*2.4</f>
        <v>109.09601385</v>
      </c>
      <c r="M55" s="12">
        <f>B55/12*2.4</f>
        <v>100.0046793625</v>
      </c>
      <c r="N55" s="12">
        <f>B55/13*2.4</f>
        <v>92.3120117192307</v>
      </c>
      <c r="O55" s="12">
        <f>B55/14*2.4</f>
        <v>85.7182965964285</v>
      </c>
      <c r="P55" s="12">
        <f>B55/15*2.4</f>
        <v>80.00374349</v>
      </c>
      <c r="Q55" s="12">
        <f>B55/16*2.4</f>
        <v>75.003509521875</v>
      </c>
      <c r="R55" s="12">
        <f>B55/17*2.4</f>
        <v>70.5915383735294</v>
      </c>
      <c r="S55" s="12">
        <f>B55/18*2.4</f>
        <v>66.6697862416666</v>
      </c>
      <c r="T55" s="12">
        <f>B55/19*2.4</f>
        <v>63.1608501236842</v>
      </c>
      <c r="U55" s="12">
        <f>B55/20*2.4</f>
        <v>60.0028076175</v>
      </c>
      <c r="V55" s="12">
        <f>B55/21*2.4</f>
        <v>57.1455310642857</v>
      </c>
      <c r="W55" s="12">
        <f>B55/22*2.4</f>
        <v>54.548006925</v>
      </c>
      <c r="X55" s="12">
        <f>B55/23*2.4</f>
        <v>52.17635445</v>
      </c>
      <c r="Y55" s="12">
        <f>B55/24*2.4</f>
        <v>50.00233968125</v>
      </c>
      <c r="Z55" s="12">
        <f>B55/25*2.4</f>
        <v>48.002246094</v>
      </c>
      <c r="AA55" s="12">
        <f>B55/26*2.4</f>
        <v>46.1560058596154</v>
      </c>
      <c r="AB55" s="12">
        <f>B55/27*2.4</f>
        <v>44.4465241611111</v>
      </c>
      <c r="AC55" s="12">
        <f>B55/28*2.4</f>
        <v>42.8591482982143</v>
      </c>
      <c r="AD55" s="12">
        <f>B55/29*2.4</f>
        <v>41.3812466327586</v>
      </c>
      <c r="AE55" s="12">
        <f>B55/30*2.4</f>
        <v>40.001871745</v>
      </c>
      <c r="AF55" s="12">
        <f>B55/31*2.4</f>
        <v>38.7114887854839</v>
      </c>
      <c r="AG55" s="12">
        <f>B55/32*2.4</f>
        <v>37.5017547609375</v>
      </c>
      <c r="AH55" s="12">
        <f>B55/33*2.4</f>
        <v>36.36533795</v>
      </c>
      <c r="AI55" s="12">
        <f>B55/34*2.4</f>
        <v>35.2957691867647</v>
      </c>
      <c r="AJ55" s="12">
        <f>B55/35*2.4</f>
        <v>34.2873186385714</v>
      </c>
      <c r="AK55" s="12">
        <f>B55/36*2.4</f>
        <v>33.3348931208333</v>
      </c>
      <c r="AL55" s="12">
        <f>B55/37*2.4</f>
        <v>32.4339500635135</v>
      </c>
      <c r="AM55" s="12">
        <f>B55/38*2.4</f>
        <v>31.5804250618421</v>
      </c>
      <c r="AN55" s="12">
        <f>B55/39*2.4</f>
        <v>30.7706705730769</v>
      </c>
      <c r="AO55" s="12">
        <f>B55/40*2.4</f>
        <v>30.00140380875</v>
      </c>
      <c r="AP55" s="12">
        <f>B55/41*2.4</f>
        <v>29.269662252439</v>
      </c>
      <c r="AQ55" s="12">
        <f>B55/42*2.4</f>
        <v>28.5727655321428</v>
      </c>
      <c r="AR55" s="12">
        <f>B55/43*2.4</f>
        <v>27.9082826127907</v>
      </c>
      <c r="AS55" s="12">
        <f>B55/44*2.4</f>
        <v>27.2740034625</v>
      </c>
      <c r="AT55" s="12">
        <f>B55/45*2.4</f>
        <v>26.6679144966667</v>
      </c>
      <c r="AU55" s="12">
        <f>B55/46*2.4</f>
        <v>26.088177225</v>
      </c>
      <c r="AV55" s="12">
        <f>B55/47*2.4</f>
        <v>25.5331096244681</v>
      </c>
      <c r="AW55" s="12">
        <f>B55/48*2.4</f>
        <v>25.001169840625</v>
      </c>
      <c r="AX55" s="12">
        <f>B55/49*2.4</f>
        <v>24.4909418846939</v>
      </c>
      <c r="AY55" s="12">
        <f>B55/50*2.4</f>
        <v>24.001123047</v>
      </c>
      <c r="AZ55" s="18">
        <f>B55/51*2.4</f>
        <v>23.5305127911765</v>
      </c>
      <c r="BA55" s="18">
        <f>B55/76*2.4</f>
        <v>15.790212530921</v>
      </c>
      <c r="BB55" s="18">
        <f>B55/101*2.4</f>
        <v>11.8817440826733</v>
      </c>
      <c r="BC55" s="18">
        <f>B55/151*2.4</f>
        <v>7.94739173741721</v>
      </c>
      <c r="BD55" s="18">
        <f>B55/201*2.4</f>
        <v>5.97042861865671</v>
      </c>
      <c r="BE55" s="18">
        <f>B55/301*2.4</f>
        <v>3.98689751611295</v>
      </c>
      <c r="BF55" s="18">
        <f>B55/401*2.1</f>
        <v>2.61857639228491</v>
      </c>
      <c r="BG55" s="18">
        <f>B55/501*2.1</f>
        <v>2.09590645370509</v>
      </c>
      <c r="BH55" s="18">
        <f>B55/751*2.1</f>
        <v>1.39820124275133</v>
      </c>
      <c r="BI55" s="18">
        <f>B55/1001*2.1</f>
        <v>1.04900013317308</v>
      </c>
      <c r="BJ55" s="18">
        <f>B55/1501*2.1</f>
        <v>0.699566377952198</v>
      </c>
      <c r="BK55" s="21">
        <f>SUM(B55:AY55)+25*SUM(AZ55:BA55)+50*SUM(BB55:BC55)+100*SUM(BD55:BF55)+250*SUM(BG55:BH55)+500*SUM(BI55:BJ55)</f>
        <v>9601.63802134391</v>
      </c>
      <c r="BL55" s="20">
        <f>BK55/6000</f>
        <v>1.60027300355732</v>
      </c>
      <c r="BM55" s="23"/>
      <c r="BN55" s="23"/>
      <c r="BO55" s="23"/>
      <c r="BP55" s="23"/>
      <c r="BQ55" s="23"/>
      <c r="BR55" s="23"/>
      <c r="BS55" s="23"/>
      <c r="BT55" s="23"/>
    </row>
    <row r="56" s="3" customFormat="1" ht="21.6" spans="1:72">
      <c r="A56" s="16" t="s">
        <v>118</v>
      </c>
      <c r="B56" s="17">
        <f t="shared" si="53"/>
        <v>575.026906334375</v>
      </c>
      <c r="C56" s="17">
        <f t="shared" si="54"/>
        <v>523.274484764281</v>
      </c>
      <c r="D56" s="17">
        <f>B56/2*1.7</f>
        <v>488.772870384219</v>
      </c>
      <c r="E56" s="17">
        <f>B56*0.35*2.2</f>
        <v>442.770717877469</v>
      </c>
      <c r="F56" s="17">
        <f>B56/5*2.8</f>
        <v>322.01506754725</v>
      </c>
      <c r="G56" s="17">
        <f>B56/6*2.8</f>
        <v>268.345889622708</v>
      </c>
      <c r="H56" s="17">
        <f>B56/7*2.8</f>
        <v>230.01076253375</v>
      </c>
      <c r="I56" s="17">
        <f>B56/8*2.8</f>
        <v>201.259417217031</v>
      </c>
      <c r="J56" s="17">
        <f>B56/9*2.8</f>
        <v>178.897259748472</v>
      </c>
      <c r="K56" s="17">
        <f>B56/10*2.8</f>
        <v>161.007533773625</v>
      </c>
      <c r="L56" s="17">
        <f>B56/11*2.8</f>
        <v>146.37048524875</v>
      </c>
      <c r="M56" s="17">
        <f>B56/12*2.8</f>
        <v>134.172944811354</v>
      </c>
      <c r="N56" s="17">
        <f>B56/13*2.8</f>
        <v>123.851949056635</v>
      </c>
      <c r="O56" s="17">
        <f>B56/14*2.8</f>
        <v>115.005381266875</v>
      </c>
      <c r="P56" s="17">
        <f>B56/15*2.8</f>
        <v>107.338355849083</v>
      </c>
      <c r="Q56" s="17">
        <f>B56/16*2.8</f>
        <v>100.629708608516</v>
      </c>
      <c r="R56" s="17">
        <f>B56/17*2.8</f>
        <v>94.7103139844852</v>
      </c>
      <c r="S56" s="17">
        <f>B56/18*2.8</f>
        <v>89.4486298742361</v>
      </c>
      <c r="T56" s="17">
        <f>B56/19*2.8</f>
        <v>84.7408072492763</v>
      </c>
      <c r="U56" s="17">
        <f>B56/20*2.8</f>
        <v>80.5037668868125</v>
      </c>
      <c r="V56" s="17">
        <f>B56/21*2.8</f>
        <v>76.6702541779166</v>
      </c>
      <c r="W56" s="17">
        <f>B56/22*2.8</f>
        <v>73.185242624375</v>
      </c>
      <c r="X56" s="17">
        <f>B56/23*2.8</f>
        <v>70.00327555375</v>
      </c>
      <c r="Y56" s="17">
        <f>B56/24*2.8</f>
        <v>67.0864724056771</v>
      </c>
      <c r="Z56" s="17">
        <f>B56/25*2.8</f>
        <v>64.40301350945</v>
      </c>
      <c r="AA56" s="17">
        <f>B56/26*2.8</f>
        <v>61.9259745283173</v>
      </c>
      <c r="AB56" s="17">
        <f>B56/27*2.8</f>
        <v>59.6324199161574</v>
      </c>
      <c r="AC56" s="17">
        <f>B56/28*2.8</f>
        <v>57.5026906334375</v>
      </c>
      <c r="AD56" s="17">
        <f>B56/29*2.8</f>
        <v>55.5198392322845</v>
      </c>
      <c r="AE56" s="17">
        <f>B56/30*2.8</f>
        <v>53.6691779245416</v>
      </c>
      <c r="AF56" s="17">
        <f>B56/31*2.8</f>
        <v>51.9379141205242</v>
      </c>
      <c r="AG56" s="17">
        <f>B56/32*2.8</f>
        <v>50.3148543042578</v>
      </c>
      <c r="AH56" s="17">
        <f>B56/33*2.8</f>
        <v>48.7901617495833</v>
      </c>
      <c r="AI56" s="17">
        <f>B56/34*2.8</f>
        <v>47.3551569922426</v>
      </c>
      <c r="AJ56" s="17">
        <f>B56/35*2.8</f>
        <v>46.00215250675</v>
      </c>
      <c r="AK56" s="17">
        <f>B56/36*2.8</f>
        <v>44.724314937118</v>
      </c>
      <c r="AL56" s="17">
        <f>B56/37*2.8</f>
        <v>43.5155496685473</v>
      </c>
      <c r="AM56" s="17">
        <f>B56/38*2.8</f>
        <v>42.3704036246381</v>
      </c>
      <c r="AN56" s="17">
        <f>B56/39*2.8</f>
        <v>41.2839830188782</v>
      </c>
      <c r="AO56" s="17">
        <f>B56/40*2.8</f>
        <v>40.2518834434062</v>
      </c>
      <c r="AP56" s="17">
        <f>B56/41*2.8</f>
        <v>39.270130188689</v>
      </c>
      <c r="AQ56" s="17">
        <f>B56/42*2.8</f>
        <v>38.3351270889583</v>
      </c>
      <c r="AR56" s="17">
        <f>B56/43*2.8</f>
        <v>37.4436125054942</v>
      </c>
      <c r="AS56" s="17">
        <f>B56/44*2.8</f>
        <v>36.5926213121875</v>
      </c>
      <c r="AT56" s="17">
        <f>B56/45*2.8</f>
        <v>35.7794519496944</v>
      </c>
      <c r="AU56" s="17">
        <f>B56/46*2.8</f>
        <v>35.001637776875</v>
      </c>
      <c r="AV56" s="17">
        <f>B56/47*2.8</f>
        <v>34.2569220794947</v>
      </c>
      <c r="AW56" s="17">
        <f>B56/48*2.8</f>
        <v>33.5432362028385</v>
      </c>
      <c r="AX56" s="17">
        <f>B56/49*2.8</f>
        <v>32.8586803619643</v>
      </c>
      <c r="AY56" s="17">
        <f>B56/50*2.8</f>
        <v>32.201506754725</v>
      </c>
      <c r="AZ56" s="16">
        <f>B56/51*2.8</f>
        <v>31.5701046614951</v>
      </c>
      <c r="BA56" s="16">
        <f>B56/76*2.8</f>
        <v>21.1852018123191</v>
      </c>
      <c r="BB56" s="16">
        <f>B56/101*2.8</f>
        <v>15.9413399775866</v>
      </c>
      <c r="BC56" s="16">
        <f>B56/151*2.8</f>
        <v>10.6627505810348</v>
      </c>
      <c r="BD56" s="16">
        <f>B56/201*2.8</f>
        <v>8.01032506336442</v>
      </c>
      <c r="BE56" s="16">
        <f>B56/301*2.8</f>
        <v>5.34908750078488</v>
      </c>
      <c r="BF56" s="16">
        <f>B56/401*2.8</f>
        <v>4.0151504681702</v>
      </c>
      <c r="BG56" s="16">
        <f>B56/501*2.8</f>
        <v>3.21372322901447</v>
      </c>
      <c r="BH56" s="16">
        <f>B56/751*2.8</f>
        <v>2.14390857221871</v>
      </c>
      <c r="BI56" s="16">
        <f>B56/1001*2.8</f>
        <v>1.60846687086538</v>
      </c>
      <c r="BJ56" s="16">
        <f>B56/1501*2.5</f>
        <v>0.957739684101224</v>
      </c>
      <c r="BK56" s="16">
        <f>B56/2001*2.5</f>
        <v>0.718424420707615</v>
      </c>
      <c r="BL56" s="3">
        <f>SUM(B56:AY56)+25*SUM(AZ56:BA56)+50*SUM(BB56:BC56)+100*SUM(BD56:BF56)+250*SUM(BG56:BH56)+500*SUM(BI56:BJ56)+1000*BK56</f>
        <v>13647.0600552396</v>
      </c>
      <c r="BM56" s="23"/>
      <c r="BN56" s="23"/>
      <c r="BO56" s="23"/>
      <c r="BP56" s="23"/>
      <c r="BQ56" s="23"/>
      <c r="BR56" s="23"/>
      <c r="BS56" s="23"/>
      <c r="BT56" s="23"/>
    </row>
    <row r="57" s="3" customFormat="1" ht="21.6" spans="1:72">
      <c r="A57" s="18" t="s">
        <v>119</v>
      </c>
      <c r="B57" s="12">
        <f>B56*1.1</f>
        <v>632.529596967812</v>
      </c>
      <c r="C57" s="12">
        <f t="shared" si="54"/>
        <v>575.601933240709</v>
      </c>
      <c r="D57" s="12">
        <f>B57/2*1.7</f>
        <v>537.65015742264</v>
      </c>
      <c r="E57" s="12">
        <f>B57*0.35*2.2</f>
        <v>487.047789665215</v>
      </c>
      <c r="F57" s="12">
        <f>B57/5*3.4</f>
        <v>430.120125938112</v>
      </c>
      <c r="G57" s="12">
        <f>B57/6*3.6</f>
        <v>379.517758180687</v>
      </c>
      <c r="H57" s="12">
        <f>B57/7*3.6</f>
        <v>325.300935583446</v>
      </c>
      <c r="I57" s="12">
        <f>B57/8*3.6</f>
        <v>284.638318635516</v>
      </c>
      <c r="J57" s="12">
        <f>B57/9*3.6</f>
        <v>253.011838787125</v>
      </c>
      <c r="K57" s="12">
        <f>B57/10*3.6</f>
        <v>227.710654908412</v>
      </c>
      <c r="L57" s="12">
        <f>B57/11*3.6</f>
        <v>207.009686280375</v>
      </c>
      <c r="M57" s="12">
        <f>B57/12*3.6</f>
        <v>189.758879090344</v>
      </c>
      <c r="N57" s="12">
        <f>B57/13*3.6</f>
        <v>175.16204223724</v>
      </c>
      <c r="O57" s="12">
        <f>B57/14*3.6</f>
        <v>162.650467791723</v>
      </c>
      <c r="P57" s="12">
        <f>B57/15*3.6</f>
        <v>151.807103272275</v>
      </c>
      <c r="Q57" s="12">
        <f>B57/16*3.6</f>
        <v>142.319159317758</v>
      </c>
      <c r="R57" s="12">
        <f>B57/17*3.6</f>
        <v>133.947444063772</v>
      </c>
      <c r="S57" s="12">
        <f>B57/18*3.6</f>
        <v>126.505919393562</v>
      </c>
      <c r="T57" s="12">
        <f>B57/19*3.6</f>
        <v>119.847713109691</v>
      </c>
      <c r="U57" s="12">
        <f>B57/20*3.6</f>
        <v>113.855327454206</v>
      </c>
      <c r="V57" s="12">
        <f>B57/21*3.6</f>
        <v>108.433645194482</v>
      </c>
      <c r="W57" s="12">
        <f>B57/22*3.6</f>
        <v>103.504843140187</v>
      </c>
      <c r="X57" s="12">
        <f>B57/23*3.6</f>
        <v>99.004632568875</v>
      </c>
      <c r="Y57" s="12">
        <f>B57/24*3.6</f>
        <v>94.8794395451718</v>
      </c>
      <c r="Z57" s="12">
        <f>B57/25*3.5</f>
        <v>88.5541435754937</v>
      </c>
      <c r="AA57" s="12">
        <f>B57/26*3.5</f>
        <v>85.1482149764363</v>
      </c>
      <c r="AB57" s="12">
        <f>B57/27*3.5</f>
        <v>81.9945773847164</v>
      </c>
      <c r="AC57" s="12">
        <f>B57/28*3.5</f>
        <v>79.0661996209765</v>
      </c>
      <c r="AD57" s="12">
        <f>B57/29*3.5</f>
        <v>76.3397789443911</v>
      </c>
      <c r="AE57" s="12">
        <f>B57/30*3.5</f>
        <v>73.7951196462448</v>
      </c>
      <c r="AF57" s="12">
        <f>B57/31*3.5</f>
        <v>71.4146319157207</v>
      </c>
      <c r="AG57" s="12">
        <f>B57/32*3.5</f>
        <v>69.1829246683545</v>
      </c>
      <c r="AH57" s="12">
        <f>B57/33*3.5</f>
        <v>67.0864724056771</v>
      </c>
      <c r="AI57" s="12">
        <f>B57/34*3.5</f>
        <v>65.1133408643336</v>
      </c>
      <c r="AJ57" s="12">
        <f>B57/35*3.5</f>
        <v>63.2529596967812</v>
      </c>
      <c r="AK57" s="12">
        <f>B57/36*3.5</f>
        <v>61.4959330385373</v>
      </c>
      <c r="AL57" s="12">
        <f>B57/37*3.5</f>
        <v>59.8338807942525</v>
      </c>
      <c r="AM57" s="12">
        <f>B57/38*3.5</f>
        <v>58.2593049838774</v>
      </c>
      <c r="AN57" s="12">
        <f>B57/39*3.5</f>
        <v>56.7654766509575</v>
      </c>
      <c r="AO57" s="12">
        <f>B57/40*3.5</f>
        <v>55.3463397346836</v>
      </c>
      <c r="AP57" s="12">
        <f>B57/41*3.5</f>
        <v>53.9964290094474</v>
      </c>
      <c r="AQ57" s="12">
        <f>B57/42*3.5</f>
        <v>52.7107997473177</v>
      </c>
      <c r="AR57" s="12">
        <f>B57/43*3.5</f>
        <v>51.4849671950545</v>
      </c>
      <c r="AS57" s="12">
        <f>B57/44*3.5</f>
        <v>50.3148543042578</v>
      </c>
      <c r="AT57" s="12">
        <f>B57/45*3.5</f>
        <v>49.1967464308298</v>
      </c>
      <c r="AU57" s="12">
        <f>B57/46*3.5</f>
        <v>48.1272519432031</v>
      </c>
      <c r="AV57" s="12">
        <f>B57/47*3.5</f>
        <v>47.1032678593052</v>
      </c>
      <c r="AW57" s="12">
        <f>B57/48*3.5</f>
        <v>46.121949778903</v>
      </c>
      <c r="AX57" s="12">
        <f>B57/49*3.5</f>
        <v>45.1806854977009</v>
      </c>
      <c r="AY57" s="12">
        <f>B57/50*3.5</f>
        <v>44.2770717877469</v>
      </c>
      <c r="AZ57" s="18">
        <f>B57/51*3.5</f>
        <v>43.4088939095557</v>
      </c>
      <c r="BA57" s="18">
        <f>B57/76*3.5</f>
        <v>29.1296524919387</v>
      </c>
      <c r="BB57" s="18">
        <f>B57/101*3.5</f>
        <v>21.9193424691816</v>
      </c>
      <c r="BC57" s="18">
        <f>B57/151*3.5</f>
        <v>14.6612820489228</v>
      </c>
      <c r="BD57" s="18">
        <f>B57/201*3.5</f>
        <v>11.0141969621261</v>
      </c>
      <c r="BE57" s="18">
        <f>B57/301*3.5</f>
        <v>7.35499531357921</v>
      </c>
      <c r="BF57" s="18">
        <f>B57/401*3.5</f>
        <v>5.52083189373402</v>
      </c>
      <c r="BG57" s="18">
        <f>B57/501*3.5</f>
        <v>4.4188694398949</v>
      </c>
      <c r="BH57" s="18">
        <f>B57/751*3.5</f>
        <v>2.94787428680072</v>
      </c>
      <c r="BI57" s="18">
        <f>B57/1001*3.5</f>
        <v>2.2116419474399</v>
      </c>
      <c r="BJ57" s="18">
        <f>B57/1501*3.5</f>
        <v>1.47491911351588</v>
      </c>
      <c r="BK57" s="18">
        <f>B57/2001*3.5</f>
        <v>1.10637360788973</v>
      </c>
      <c r="BL57" s="18">
        <f>B57/3001*3.4</f>
        <v>0.716628000563333</v>
      </c>
      <c r="BM57" s="23"/>
      <c r="BN57" s="23"/>
      <c r="BO57" s="23"/>
      <c r="BP57" s="23"/>
      <c r="BQ57" s="23"/>
      <c r="BR57" s="23"/>
      <c r="BS57" s="23"/>
      <c r="BT57" s="23"/>
    </row>
    <row r="58" s="4" customFormat="1" spans="1:72">
      <c r="A58" s="11" t="s">
        <v>125</v>
      </c>
      <c r="B58" s="12">
        <v>632.529596967812</v>
      </c>
      <c r="C58" s="12">
        <v>575.601933240709</v>
      </c>
      <c r="D58" s="15">
        <v>537.65015742264</v>
      </c>
      <c r="E58" s="15">
        <v>487.047789665215</v>
      </c>
      <c r="F58" s="15">
        <v>430.120125938112</v>
      </c>
      <c r="G58" s="15">
        <v>379.517758180687</v>
      </c>
      <c r="H58" s="15">
        <v>325.300935583446</v>
      </c>
      <c r="I58" s="15">
        <v>284.638318635516</v>
      </c>
      <c r="J58" s="15">
        <v>253.011838787125</v>
      </c>
      <c r="K58" s="15">
        <v>227.710654908412</v>
      </c>
      <c r="L58" s="15">
        <v>207.009686280375</v>
      </c>
      <c r="M58" s="15">
        <v>189.758879090344</v>
      </c>
      <c r="N58" s="15">
        <v>175.16204223724</v>
      </c>
      <c r="O58" s="15">
        <v>162.650467791723</v>
      </c>
      <c r="P58" s="12">
        <v>151.807103272275</v>
      </c>
      <c r="Q58" s="12">
        <v>142.319159317758</v>
      </c>
      <c r="R58" s="12">
        <v>133.947444063772</v>
      </c>
      <c r="S58" s="12">
        <v>126.505919393562</v>
      </c>
      <c r="T58" s="12">
        <v>119.847713109691</v>
      </c>
      <c r="U58" s="12">
        <v>113.855327454206</v>
      </c>
      <c r="V58" s="12">
        <v>108.433645194482</v>
      </c>
      <c r="W58" s="12">
        <v>103.504843140187</v>
      </c>
      <c r="X58" s="12">
        <v>99.004632568875</v>
      </c>
      <c r="Y58" s="12">
        <v>94.8794395451718</v>
      </c>
      <c r="Z58" s="12">
        <v>88.5541435754937</v>
      </c>
      <c r="AA58" s="12">
        <v>85.1482149764363</v>
      </c>
      <c r="AB58" s="12">
        <v>81.9945773847164</v>
      </c>
      <c r="AC58" s="12">
        <v>79.0661996209765</v>
      </c>
      <c r="AD58" s="12">
        <v>76.3397789443911</v>
      </c>
      <c r="AE58" s="12">
        <v>73.7951196462448</v>
      </c>
      <c r="AF58" s="12">
        <v>71.4146319157207</v>
      </c>
      <c r="AG58" s="12">
        <v>69.1829246683545</v>
      </c>
      <c r="AH58" s="12">
        <v>67.0864724056771</v>
      </c>
      <c r="AI58" s="12">
        <v>65.1133408643336</v>
      </c>
      <c r="AJ58" s="12">
        <v>63.2529596967812</v>
      </c>
      <c r="AK58" s="12">
        <v>61.4959330385373</v>
      </c>
      <c r="AL58" s="12">
        <v>59.8338807942525</v>
      </c>
      <c r="AM58" s="12">
        <v>58.2593049838774</v>
      </c>
      <c r="AN58" s="12">
        <v>56.7654766509575</v>
      </c>
      <c r="AO58" s="12">
        <v>55.3463397346836</v>
      </c>
      <c r="AP58" s="12">
        <v>53.9964290094474</v>
      </c>
      <c r="AQ58" s="12">
        <v>52.7107997473177</v>
      </c>
      <c r="AR58" s="12">
        <v>51.4849671950545</v>
      </c>
      <c r="AS58" s="12">
        <v>50.3148543042578</v>
      </c>
      <c r="AT58" s="12">
        <v>49.1967464308298</v>
      </c>
      <c r="AU58" s="12">
        <v>48.1272519432031</v>
      </c>
      <c r="AV58" s="12">
        <v>47.1032678593052</v>
      </c>
      <c r="AW58" s="12">
        <v>46.121949778903</v>
      </c>
      <c r="AX58" s="12">
        <v>45.1806854977009</v>
      </c>
      <c r="AY58" s="12">
        <v>44.2770717877469</v>
      </c>
      <c r="AZ58" s="18">
        <v>43.4088939095557</v>
      </c>
      <c r="BA58" s="18">
        <v>29.1296524919387</v>
      </c>
      <c r="BB58" s="18">
        <v>21.9193424691816</v>
      </c>
      <c r="BC58" s="18">
        <v>14.6612820489228</v>
      </c>
      <c r="BD58" s="18">
        <v>11.0141969621261</v>
      </c>
      <c r="BE58" s="18">
        <v>7.35499531357921</v>
      </c>
      <c r="BF58" s="18">
        <v>5.52083189373402</v>
      </c>
      <c r="BG58" s="18">
        <v>4.4188694398949</v>
      </c>
      <c r="BH58" s="18">
        <v>2.94787428680072</v>
      </c>
      <c r="BI58" s="18">
        <v>2.2116419474399</v>
      </c>
      <c r="BJ58" s="18">
        <v>1.47491911351588</v>
      </c>
      <c r="BK58" s="18">
        <v>1.10637360788973</v>
      </c>
      <c r="BL58" s="18">
        <v>0.716628000563333</v>
      </c>
      <c r="BM58" s="23"/>
      <c r="BN58" s="23"/>
      <c r="BO58" s="19"/>
      <c r="BP58" s="19"/>
      <c r="BQ58" s="19"/>
      <c r="BR58" s="19"/>
      <c r="BS58" s="19"/>
      <c r="BT58" s="19"/>
    </row>
    <row r="59" s="4" customFormat="1" spans="1:7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</row>
    <row r="60" s="4" customFormat="1" spans="1:7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</row>
    <row r="61" s="4" customFormat="1" spans="1:7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</row>
    <row r="62" s="4" customFormat="1" spans="1:7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</row>
    <row r="63" s="4" customFormat="1" spans="1:7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</row>
    <row r="64" s="4" customFormat="1" spans="1:7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</row>
    <row r="65" s="4" customFormat="1" spans="1:7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</row>
    <row r="66" s="4" customFormat="1" spans="1:7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</row>
    <row r="67" s="4" customFormat="1" spans="1:7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</row>
    <row r="68" s="4" customFormat="1" spans="1:7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</row>
    <row r="69" s="4" customFormat="1" spans="1:7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</row>
    <row r="70" s="4" customFormat="1" spans="1:7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</row>
    <row r="71" s="4" customFormat="1" spans="1:7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</row>
    <row r="72" s="4" customFormat="1" spans="1:7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</row>
    <row r="73" s="4" customFormat="1" spans="1:7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</row>
    <row r="74" s="4" customFormat="1" spans="1:7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</row>
    <row r="75" s="4" customFormat="1" spans="1:7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</row>
    <row r="76" s="4" customFormat="1" spans="1:7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</row>
    <row r="77" s="4" customFormat="1" spans="1:7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</row>
  </sheetData>
  <mergeCells count="1">
    <mergeCell ref="A1:H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国家级比赛 </vt:lpstr>
      <vt:lpstr>全国级比赛</vt:lpstr>
      <vt:lpstr>A级比赛 </vt:lpstr>
      <vt:lpstr> B1级比赛</vt:lpstr>
      <vt:lpstr> B2级比赛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2016-04-11T03:13:59Z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