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tabRatio="839" activeTab="9"/>
  </bookViews>
  <sheets>
    <sheet name="国家级比赛" sheetId="1" r:id="rId1"/>
    <sheet name="全国级比赛" sheetId="2" r:id="rId2"/>
    <sheet name="A级比赛" sheetId="3" r:id="rId3"/>
    <sheet name="Ｂ１级比赛  " sheetId="4" r:id="rId4"/>
    <sheet name="Ｂ２级比赛 " sheetId="5" r:id="rId5"/>
    <sheet name="C１级比赛 " sheetId="6" r:id="rId6"/>
    <sheet name="C２级比赛 " sheetId="7" r:id="rId7"/>
    <sheet name="C３级比赛 " sheetId="8" r:id="rId8"/>
    <sheet name="C４级比赛" sheetId="9" r:id="rId9"/>
    <sheet name="C５级比赛" sheetId="10" r:id="rId10"/>
  </sheets>
  <calcPr calcId="144525"/>
</workbook>
</file>

<file path=xl/sharedStrings.xml><?xml version="1.0" encoding="utf-8"?>
<sst xmlns="http://schemas.openxmlformats.org/spreadsheetml/2006/main" count="101">
  <si>
    <t>表2：国家级比赛红分奖励表</t>
  </si>
  <si>
    <t>比赛规模/人</t>
  </si>
  <si>
    <t>第1名</t>
  </si>
  <si>
    <t>第2名</t>
  </si>
  <si>
    <t>第3名</t>
  </si>
  <si>
    <t>第4名</t>
  </si>
  <si>
    <t>第5名</t>
  </si>
  <si>
    <t>第6名</t>
  </si>
  <si>
    <t>第7名</t>
  </si>
  <si>
    <t>第8名</t>
  </si>
  <si>
    <t>第9名</t>
  </si>
  <si>
    <t>第10名</t>
  </si>
  <si>
    <t>第11名</t>
  </si>
  <si>
    <t>第12名</t>
  </si>
  <si>
    <t>第13名</t>
  </si>
  <si>
    <t>第14名</t>
  </si>
  <si>
    <t>第15名</t>
  </si>
  <si>
    <t>第16-17名</t>
  </si>
  <si>
    <t>第18-20名</t>
  </si>
  <si>
    <t>第20-25名</t>
  </si>
  <si>
    <t>第26-30名</t>
  </si>
  <si>
    <t>第30-40名</t>
  </si>
  <si>
    <t>第41-50名</t>
  </si>
  <si>
    <t>第51-60名</t>
  </si>
  <si>
    <t>第61-70名</t>
  </si>
  <si>
    <t>第71-80名</t>
  </si>
  <si>
    <t>第81-90名</t>
  </si>
  <si>
    <r>
      <rPr>
        <sz val="9"/>
        <rFont val="宋体"/>
        <charset val="134"/>
      </rPr>
      <t>第9</t>
    </r>
    <r>
      <rPr>
        <sz val="9"/>
        <rFont val="宋体"/>
        <charset val="134"/>
      </rPr>
      <t>1</t>
    </r>
    <r>
      <rPr>
        <sz val="9"/>
        <rFont val="宋体"/>
        <charset val="134"/>
      </rPr>
      <t>-100名</t>
    </r>
  </si>
  <si>
    <t>第101-120名</t>
  </si>
  <si>
    <t>第121-140名</t>
  </si>
  <si>
    <t>第141-160名</t>
  </si>
  <si>
    <t>第161-180名</t>
  </si>
  <si>
    <t>第181-200名</t>
  </si>
  <si>
    <t>第201-300名</t>
  </si>
  <si>
    <t>第301-400名</t>
  </si>
  <si>
    <t>第401-500名</t>
  </si>
  <si>
    <t>第501-750名</t>
  </si>
  <si>
    <t>第751-1000名</t>
  </si>
  <si>
    <t>第1001-1500名</t>
  </si>
  <si>
    <t>第1501-2000名</t>
  </si>
  <si>
    <t>第2001-3000名</t>
  </si>
  <si>
    <t>第3001-4000名</t>
  </si>
  <si>
    <t>第4001-5000名</t>
  </si>
  <si>
    <t>3~4</t>
  </si>
  <si>
    <t>5~6</t>
  </si>
  <si>
    <t>7~8</t>
  </si>
  <si>
    <t>9~10</t>
  </si>
  <si>
    <t>11~12</t>
  </si>
  <si>
    <t>13-14</t>
  </si>
  <si>
    <t>15-16</t>
  </si>
  <si>
    <t>17-18</t>
  </si>
  <si>
    <t>19-20</t>
  </si>
  <si>
    <t>21-23</t>
  </si>
  <si>
    <t>24-25</t>
  </si>
  <si>
    <t>26-27</t>
  </si>
  <si>
    <t>28-29</t>
  </si>
  <si>
    <t>30-31</t>
  </si>
  <si>
    <t>32-35</t>
  </si>
  <si>
    <t>36-41</t>
  </si>
  <si>
    <t>42-51</t>
  </si>
  <si>
    <t>52-61</t>
  </si>
  <si>
    <t>62-81</t>
  </si>
  <si>
    <t>82-101</t>
  </si>
  <si>
    <t>102-121</t>
  </si>
  <si>
    <t>122-141</t>
  </si>
  <si>
    <t>142-161</t>
  </si>
  <si>
    <t>162-181</t>
  </si>
  <si>
    <t>182-201</t>
  </si>
  <si>
    <t>202-241</t>
  </si>
  <si>
    <t>242-281</t>
  </si>
  <si>
    <t>282-321</t>
  </si>
  <si>
    <t>322-361</t>
  </si>
  <si>
    <t>362-401</t>
  </si>
  <si>
    <t>402-601</t>
  </si>
  <si>
    <t>602-801</t>
  </si>
  <si>
    <t>802-1001</t>
  </si>
  <si>
    <t>1002-1501</t>
  </si>
  <si>
    <t>1502-2001</t>
  </si>
  <si>
    <t>2002-3001</t>
  </si>
  <si>
    <t>3002-4001</t>
  </si>
  <si>
    <t>4002-6001</t>
  </si>
  <si>
    <t>6002-8001</t>
  </si>
  <si>
    <t>8002-10001</t>
  </si>
  <si>
    <t>10002以上</t>
  </si>
  <si>
    <t>表2：A级比赛红分奖励表</t>
  </si>
  <si>
    <t>表2：B1级比赛红分奖励表</t>
  </si>
  <si>
    <t>表2：B2级比赛红分奖励表</t>
  </si>
  <si>
    <t>表2：C１级比赛红分奖励表</t>
  </si>
  <si>
    <t>表2：C２级比赛红分奖励表</t>
  </si>
  <si>
    <t>表2：C３级比赛红分奖励表</t>
  </si>
  <si>
    <t>表2：C４级比赛红分奖励表</t>
  </si>
  <si>
    <t>表2：C５级比赛红分奖励表</t>
  </si>
  <si>
    <t>第21-25名</t>
  </si>
  <si>
    <t>第31-40名</t>
  </si>
  <si>
    <t>第91-100名</t>
  </si>
  <si>
    <t>21-22</t>
  </si>
  <si>
    <t>23-24</t>
  </si>
  <si>
    <t>25-26</t>
  </si>
  <si>
    <t>27-28</t>
  </si>
  <si>
    <t>29-30</t>
  </si>
  <si>
    <t>31-35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</si>
</sst>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indexed="4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7" fillId="27" borderId="8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3" fillId="0" borderId="0"/>
  </cellStyleXfs>
  <cellXfs count="43">
    <xf numFmtId="0" fontId="0" fillId="0" borderId="0" xfId="0"/>
    <xf numFmtId="0" fontId="1" fillId="0" borderId="0" xfId="49" applyFont="1" applyAlignment="1">
      <alignment horizontal="center"/>
    </xf>
    <xf numFmtId="0" fontId="1" fillId="2" borderId="0" xfId="49" applyFont="1" applyFill="1"/>
    <xf numFmtId="0" fontId="1" fillId="0" borderId="0" xfId="49" applyFont="1" applyFill="1"/>
    <xf numFmtId="0" fontId="2" fillId="0" borderId="0" xfId="49" applyFont="1" applyFill="1"/>
    <xf numFmtId="0" fontId="1" fillId="0" borderId="0" xfId="49" applyFont="1" applyBorder="1"/>
    <xf numFmtId="0" fontId="1" fillId="0" borderId="0" xfId="49" applyFont="1"/>
    <xf numFmtId="0" fontId="1" fillId="0" borderId="0" xfId="49" applyFont="1" applyAlignment="1">
      <alignment horizontal="right"/>
    </xf>
    <xf numFmtId="0" fontId="1" fillId="0" borderId="0" xfId="49" applyFont="1" applyAlignment="1">
      <alignment horizontal="left"/>
    </xf>
    <xf numFmtId="0" fontId="3" fillId="0" borderId="0" xfId="49" applyFont="1" applyAlignment="1">
      <alignment horizontal="center"/>
    </xf>
    <xf numFmtId="0" fontId="1" fillId="0" borderId="1" xfId="49" applyFont="1" applyBorder="1" applyAlignment="1">
      <alignment horizontal="center" wrapText="1"/>
    </xf>
    <xf numFmtId="0" fontId="1" fillId="0" borderId="1" xfId="49" applyFont="1" applyFill="1" applyBorder="1" applyAlignment="1">
      <alignment horizontal="center" wrapText="1"/>
    </xf>
    <xf numFmtId="0" fontId="1" fillId="2" borderId="1" xfId="49" applyNumberFormat="1" applyFont="1" applyFill="1" applyBorder="1" applyAlignment="1">
      <alignment wrapText="1"/>
    </xf>
    <xf numFmtId="176" fontId="1" fillId="2" borderId="1" xfId="49" applyNumberFormat="1" applyFont="1" applyFill="1" applyBorder="1" applyAlignment="1">
      <alignment wrapText="1"/>
    </xf>
    <xf numFmtId="176" fontId="1" fillId="3" borderId="1" xfId="49" applyNumberFormat="1" applyFont="1" applyFill="1" applyBorder="1" applyAlignment="1">
      <alignment wrapText="1"/>
    </xf>
    <xf numFmtId="176" fontId="1" fillId="4" borderId="1" xfId="49" applyNumberFormat="1" applyFont="1" applyFill="1" applyBorder="1" applyAlignment="1">
      <alignment wrapText="1"/>
    </xf>
    <xf numFmtId="176" fontId="1" fillId="0" borderId="1" xfId="49" applyNumberFormat="1" applyFont="1" applyFill="1" applyBorder="1" applyAlignment="1">
      <alignment wrapText="1"/>
    </xf>
    <xf numFmtId="0" fontId="1" fillId="0" borderId="1" xfId="49" applyFont="1" applyBorder="1" applyAlignment="1">
      <alignment horizontal="right" wrapText="1"/>
    </xf>
    <xf numFmtId="176" fontId="1" fillId="0" borderId="1" xfId="49" applyNumberFormat="1" applyFont="1" applyBorder="1" applyAlignment="1">
      <alignment wrapText="1"/>
    </xf>
    <xf numFmtId="0" fontId="1" fillId="2" borderId="1" xfId="49" applyFont="1" applyFill="1" applyBorder="1" applyAlignment="1">
      <alignment horizontal="right" wrapText="1"/>
    </xf>
    <xf numFmtId="0" fontId="1" fillId="0" borderId="1" xfId="49" applyNumberFormat="1" applyFont="1" applyBorder="1" applyAlignment="1">
      <alignment horizontal="right" wrapText="1"/>
    </xf>
    <xf numFmtId="0" fontId="1" fillId="0" borderId="1" xfId="49" applyNumberFormat="1" applyFont="1" applyFill="1" applyBorder="1" applyAlignment="1">
      <alignment horizontal="right" wrapText="1"/>
    </xf>
    <xf numFmtId="0" fontId="1" fillId="0" borderId="1" xfId="49" applyFont="1" applyFill="1" applyBorder="1" applyAlignment="1">
      <alignment horizontal="right" wrapText="1"/>
    </xf>
    <xf numFmtId="0" fontId="1" fillId="0" borderId="0" xfId="49" applyFont="1" applyBorder="1" applyAlignment="1">
      <alignment horizontal="right" wrapText="1"/>
    </xf>
    <xf numFmtId="0" fontId="1" fillId="0" borderId="0" xfId="49" applyFont="1" applyFill="1" applyBorder="1" applyAlignment="1">
      <alignment horizontal="right" wrapText="1"/>
    </xf>
    <xf numFmtId="176" fontId="1" fillId="0" borderId="1" xfId="49" applyNumberFormat="1" applyFont="1" applyFill="1" applyBorder="1" applyAlignment="1">
      <alignment horizontal="right" wrapText="1"/>
    </xf>
    <xf numFmtId="176" fontId="1" fillId="0" borderId="1" xfId="49" applyNumberFormat="1" applyFont="1" applyBorder="1" applyAlignment="1">
      <alignment horizontal="right" wrapText="1"/>
    </xf>
    <xf numFmtId="176" fontId="1" fillId="4" borderId="1" xfId="49" applyNumberFormat="1" applyFont="1" applyFill="1" applyBorder="1" applyAlignment="1">
      <alignment horizontal="right" wrapText="1"/>
    </xf>
    <xf numFmtId="176" fontId="1" fillId="3" borderId="1" xfId="49" applyNumberFormat="1" applyFont="1" applyFill="1" applyBorder="1" applyAlignment="1">
      <alignment horizontal="right" wrapText="1"/>
    </xf>
    <xf numFmtId="176" fontId="1" fillId="2" borderId="1" xfId="49" applyNumberFormat="1" applyFont="1" applyFill="1" applyBorder="1" applyAlignment="1">
      <alignment horizontal="right" wrapText="1"/>
    </xf>
    <xf numFmtId="0" fontId="1" fillId="0" borderId="0" xfId="49" applyFont="1" applyFill="1" applyBorder="1" applyAlignment="1">
      <alignment horizontal="center" wrapText="1"/>
    </xf>
    <xf numFmtId="0" fontId="2" fillId="0" borderId="0" xfId="49" applyFont="1" applyFill="1" applyBorder="1" applyAlignment="1">
      <alignment horizontal="right" wrapText="1"/>
    </xf>
    <xf numFmtId="176" fontId="1" fillId="0" borderId="0" xfId="49" applyNumberFormat="1" applyFont="1" applyFill="1" applyBorder="1" applyAlignment="1">
      <alignment horizontal="right" wrapText="1"/>
    </xf>
    <xf numFmtId="176" fontId="1" fillId="3" borderId="0" xfId="49" applyNumberFormat="1" applyFont="1" applyFill="1" applyBorder="1" applyAlignment="1">
      <alignment horizontal="right" wrapText="1"/>
    </xf>
    <xf numFmtId="176" fontId="1" fillId="4" borderId="0" xfId="49" applyNumberFormat="1" applyFont="1" applyFill="1" applyBorder="1" applyAlignment="1">
      <alignment horizontal="right" wrapText="1"/>
    </xf>
    <xf numFmtId="0" fontId="1" fillId="0" borderId="0" xfId="49" applyFont="1" applyFill="1" applyAlignment="1">
      <alignment horizontal="center"/>
    </xf>
    <xf numFmtId="0" fontId="1" fillId="0" borderId="2" xfId="49" applyFont="1" applyFill="1" applyBorder="1" applyAlignment="1">
      <alignment horizontal="right" wrapText="1"/>
    </xf>
    <xf numFmtId="0" fontId="2" fillId="2" borderId="0" xfId="49" applyFont="1" applyFill="1"/>
    <xf numFmtId="176" fontId="1" fillId="5" borderId="1" xfId="49" applyNumberFormat="1" applyFont="1" applyFill="1" applyBorder="1" applyAlignment="1">
      <alignment wrapText="1"/>
    </xf>
    <xf numFmtId="176" fontId="1" fillId="5" borderId="1" xfId="49" applyNumberFormat="1" applyFont="1" applyFill="1" applyBorder="1" applyAlignment="1">
      <alignment horizontal="right" wrapText="1"/>
    </xf>
    <xf numFmtId="0" fontId="1" fillId="0" borderId="0" xfId="49" applyFont="1" applyBorder="1" applyAlignment="1">
      <alignment horizontal="center" wrapText="1"/>
    </xf>
    <xf numFmtId="0" fontId="1" fillId="0" borderId="0" xfId="49" applyFont="1" applyFill="1" applyBorder="1"/>
    <xf numFmtId="0" fontId="1" fillId="0" borderId="2" xfId="49" applyFont="1" applyBorder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  <numFmt numFmtId="177" formatCode="0.00_ "/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P67"/>
  <sheetViews>
    <sheetView topLeftCell="A15" workbookViewId="0">
      <selection activeCell="I14" sqref="I14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0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'C５级比赛'!B4*30</f>
        <v>150</v>
      </c>
      <c r="C4" s="38">
        <v>150</v>
      </c>
      <c r="D4" s="15">
        <v>75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'C５级比赛'!B5*30</f>
        <v>180</v>
      </c>
      <c r="C5" s="18">
        <f>'C５级比赛'!C5*30</f>
        <v>126</v>
      </c>
      <c r="D5" s="38">
        <f>'C５级比赛'!D5*30</f>
        <v>306</v>
      </c>
      <c r="E5" s="15">
        <f>'C５级比赛'!E5*30</f>
        <v>76.5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'C５级比赛'!B6*30</f>
        <v>210</v>
      </c>
      <c r="C6" s="18">
        <f>'C５级比赛'!C6*30</f>
        <v>147</v>
      </c>
      <c r="D6" s="16">
        <f>'C５级比赛'!D6*30</f>
        <v>105</v>
      </c>
      <c r="E6" s="38">
        <f>'C５级比赛'!E6*30</f>
        <v>462</v>
      </c>
      <c r="F6" s="15">
        <f>'C５级比赛'!F6*30</f>
        <v>77.0000000000001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172">
      <c r="A7" s="17" t="s">
        <v>45</v>
      </c>
      <c r="B7" s="18">
        <f>'C５级比赛'!B7*30</f>
        <v>255</v>
      </c>
      <c r="C7" s="18">
        <f>'C５级比赛'!C7*30</f>
        <v>178.5</v>
      </c>
      <c r="D7" s="16">
        <f>'C５级比赛'!D7*30</f>
        <v>127.5</v>
      </c>
      <c r="E7" s="16">
        <f>'C５级比赛'!E7*30</f>
        <v>89.25</v>
      </c>
      <c r="F7" s="38">
        <f>'C５级比赛'!F7*30</f>
        <v>650.25</v>
      </c>
      <c r="G7" s="15">
        <f>'C５级比赛'!G7*30</f>
        <v>81.28125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</row>
    <row r="8" s="3" customFormat="1" spans="1:50">
      <c r="A8" s="19" t="s">
        <v>46</v>
      </c>
      <c r="B8" s="13">
        <f>'C５级比赛'!B8*30</f>
        <v>300</v>
      </c>
      <c r="C8" s="13">
        <f>'C５级比赛'!C8*30</f>
        <v>210</v>
      </c>
      <c r="D8" s="13">
        <f>'C５级比赛'!D8*30</f>
        <v>150</v>
      </c>
      <c r="E8" s="13">
        <f>'C５级比赛'!E8*30</f>
        <v>105</v>
      </c>
      <c r="F8" s="13">
        <f>'C５级比赛'!F8*30</f>
        <v>60</v>
      </c>
      <c r="G8" s="38">
        <f>'C５级比赛'!G8*30</f>
        <v>825</v>
      </c>
      <c r="H8" s="15">
        <f>'C５级比赛'!H8*30</f>
        <v>82.5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172">
      <c r="A9" s="17" t="s">
        <v>47</v>
      </c>
      <c r="B9" s="18">
        <f>'C５级比赛'!B9*30</f>
        <v>360</v>
      </c>
      <c r="C9" s="18">
        <f>'C５级比赛'!C9*30</f>
        <v>252</v>
      </c>
      <c r="D9" s="16">
        <f>'C５级比赛'!D9*30</f>
        <v>180</v>
      </c>
      <c r="E9" s="16">
        <f>'C５级比赛'!E9*30</f>
        <v>126</v>
      </c>
      <c r="F9" s="16">
        <f>'C５级比赛'!F9*30</f>
        <v>72</v>
      </c>
      <c r="G9" s="16">
        <f>'C５级比赛'!G9*30</f>
        <v>60</v>
      </c>
      <c r="H9" s="38">
        <f>'C５级比赛'!H9*30</f>
        <v>1050</v>
      </c>
      <c r="I9" s="15">
        <f>'C５级比赛'!I9*30</f>
        <v>87.5000000000001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</row>
    <row r="10" spans="1:172">
      <c r="A10" s="20" t="s">
        <v>48</v>
      </c>
      <c r="B10" s="18">
        <f>'C５级比赛'!B10*30</f>
        <v>405</v>
      </c>
      <c r="C10" s="18">
        <f>'C５级比赛'!C10*30</f>
        <v>283.5</v>
      </c>
      <c r="D10" s="16">
        <f>'C５级比赛'!D10*30</f>
        <v>202.5</v>
      </c>
      <c r="E10" s="16">
        <f>'C５级比赛'!E10*30</f>
        <v>141.75</v>
      </c>
      <c r="F10" s="16">
        <f>'C５级比赛'!F10*30</f>
        <v>81</v>
      </c>
      <c r="G10" s="16">
        <f>'C５级比赛'!G10*30</f>
        <v>67.5</v>
      </c>
      <c r="H10" s="16">
        <f>'C５级比赛'!H10*30</f>
        <v>57.8571428571429</v>
      </c>
      <c r="I10" s="38">
        <f>'C５级比赛'!I10*30</f>
        <v>1239.10714285714</v>
      </c>
      <c r="J10" s="15">
        <f>'C５级比赛'!J10*30</f>
        <v>88.5076530612246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</row>
    <row r="11" spans="1:172">
      <c r="A11" s="20" t="s">
        <v>49</v>
      </c>
      <c r="B11" s="18">
        <f>'C５级比赛'!B11*30</f>
        <v>465</v>
      </c>
      <c r="C11" s="18">
        <f>'C５级比赛'!C11*30</f>
        <v>325.5</v>
      </c>
      <c r="D11" s="16">
        <f>'C５级比赛'!D11*30</f>
        <v>232.5</v>
      </c>
      <c r="E11" s="16">
        <f>'C５级比赛'!E11*30</f>
        <v>162.75</v>
      </c>
      <c r="F11" s="16">
        <f>'C５级比赛'!F11*30</f>
        <v>93</v>
      </c>
      <c r="G11" s="16">
        <f>'C５级比赛'!G11*30</f>
        <v>77.4999999999999</v>
      </c>
      <c r="H11" s="16">
        <f>'C５级比赛'!H11*30</f>
        <v>66.4285714285713</v>
      </c>
      <c r="I11" s="16">
        <f>'C５级比赛'!I11*30</f>
        <v>58.125</v>
      </c>
      <c r="J11" s="38">
        <f>'C５级比赛'!J11*30</f>
        <v>1480.80357142857</v>
      </c>
      <c r="K11" s="15">
        <f>'C５级比赛'!K11*30</f>
        <v>92.5502232142857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</row>
    <row r="12" spans="1:172">
      <c r="A12" s="20" t="s">
        <v>50</v>
      </c>
      <c r="B12" s="18">
        <f>'C５级比赛'!B12*30</f>
        <v>510</v>
      </c>
      <c r="C12" s="18">
        <f>'C５级比赛'!C12*30</f>
        <v>357</v>
      </c>
      <c r="D12" s="16">
        <f>'C５级比赛'!D12*30</f>
        <v>255</v>
      </c>
      <c r="E12" s="16">
        <f>'C５级比赛'!E12*30</f>
        <v>178.5</v>
      </c>
      <c r="F12" s="16">
        <f>'C５级比赛'!F12*30</f>
        <v>102</v>
      </c>
      <c r="G12" s="16">
        <f>'C５级比赛'!G12*30</f>
        <v>84.9999999999999</v>
      </c>
      <c r="H12" s="16">
        <f>'C５级比赛'!H12*30</f>
        <v>72.8571428571429</v>
      </c>
      <c r="I12" s="16">
        <f>'C５级比赛'!I12*30</f>
        <v>63.75</v>
      </c>
      <c r="J12" s="16">
        <f>'C５级比赛'!J12*30</f>
        <v>56.6666666666667</v>
      </c>
      <c r="K12" s="38">
        <f>'C５级比赛'!K12*30</f>
        <v>1680.77380952381</v>
      </c>
      <c r="L12" s="15">
        <f>'C５级比赛'!L12*30</f>
        <v>93.3763227513228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</row>
    <row r="13" s="3" customFormat="1" spans="1:50">
      <c r="A13" s="21" t="s">
        <v>51</v>
      </c>
      <c r="B13" s="18">
        <f>'C５级比赛'!B13*30</f>
        <v>555</v>
      </c>
      <c r="C13" s="18">
        <f>'C５级比赛'!C13*30</f>
        <v>388.5</v>
      </c>
      <c r="D13" s="16">
        <f>'C５级比赛'!D13*30</f>
        <v>277.5</v>
      </c>
      <c r="E13" s="16">
        <f>'C５级比赛'!E13*30</f>
        <v>194.25</v>
      </c>
      <c r="F13" s="16">
        <f>'C５级比赛'!F13*30</f>
        <v>111</v>
      </c>
      <c r="G13" s="16">
        <f>'C５级比赛'!G13*30</f>
        <v>92.4999999999999</v>
      </c>
      <c r="H13" s="16">
        <f>'C５级比赛'!H13*30</f>
        <v>79.2857142857142</v>
      </c>
      <c r="I13" s="16">
        <f>'C５级比赛'!I13*30</f>
        <v>69.375</v>
      </c>
      <c r="J13" s="16">
        <f>'C５级比赛'!J13*30</f>
        <v>61.6666666666668</v>
      </c>
      <c r="K13" s="16">
        <f>'C５级比赛'!K13*30</f>
        <v>55.5</v>
      </c>
      <c r="L13" s="38">
        <f>'C５级比赛'!L13*30</f>
        <v>1884.57738095238</v>
      </c>
      <c r="M13" s="15">
        <f>'C５级比赛'!M13*30</f>
        <v>94.228869047619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72">
      <c r="A14" s="20" t="s">
        <v>52</v>
      </c>
      <c r="B14" s="18">
        <f>'C５级比赛'!B14*30</f>
        <v>600</v>
      </c>
      <c r="C14" s="18">
        <f>'C５级比赛'!C14*30</f>
        <v>420</v>
      </c>
      <c r="D14" s="16">
        <f>'C５级比赛'!D14*30</f>
        <v>300</v>
      </c>
      <c r="E14" s="16">
        <f>'C５级比赛'!E14*30</f>
        <v>210</v>
      </c>
      <c r="F14" s="16">
        <f>'C５级比赛'!F14*30</f>
        <v>120</v>
      </c>
      <c r="G14" s="16">
        <f>'C５级比赛'!G14*30</f>
        <v>99.9999999999999</v>
      </c>
      <c r="H14" s="16">
        <f>'C５级比赛'!H14*30</f>
        <v>85.7142857142858</v>
      </c>
      <c r="I14" s="16">
        <f>'C５级比赛'!I14*30</f>
        <v>75</v>
      </c>
      <c r="J14" s="16">
        <f>'C５级比赛'!J14*30</f>
        <v>66.6666666666666</v>
      </c>
      <c r="K14" s="16">
        <f>'C５级比赛'!K14*30</f>
        <v>60</v>
      </c>
      <c r="L14" s="16">
        <f>'C５级比赛'!L14*30</f>
        <v>54.5454545454546</v>
      </c>
      <c r="M14" s="38">
        <f>'C５级比赛'!M14*30</f>
        <v>2091.92640692641</v>
      </c>
      <c r="N14" s="15">
        <f>'C５级比赛'!N14*30</f>
        <v>95.0875639512003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72">
      <c r="A15" s="20" t="s">
        <v>53</v>
      </c>
      <c r="B15" s="18">
        <f>'C５级比赛'!B15*30</f>
        <v>645</v>
      </c>
      <c r="C15" s="18">
        <f>'C５级比赛'!C15*30</f>
        <v>451.5</v>
      </c>
      <c r="D15" s="16">
        <f>'C５级比赛'!D15*30</f>
        <v>322.5</v>
      </c>
      <c r="E15" s="16">
        <f>'C５级比赛'!E15*30</f>
        <v>225.75</v>
      </c>
      <c r="F15" s="16">
        <f>'C５级比赛'!F15*30</f>
        <v>129</v>
      </c>
      <c r="G15" s="16">
        <f>'C５级比赛'!G15*30</f>
        <v>107.5</v>
      </c>
      <c r="H15" s="16">
        <f>'C５级比赛'!H15*30</f>
        <v>92.1428571428572</v>
      </c>
      <c r="I15" s="16">
        <f>'C５级比赛'!I15*30</f>
        <v>80.625</v>
      </c>
      <c r="J15" s="16">
        <f>'C５级比赛'!J15*30</f>
        <v>71.6666666666667</v>
      </c>
      <c r="K15" s="16">
        <f>'C５级比赛'!K15*30</f>
        <v>64.5</v>
      </c>
      <c r="L15" s="16">
        <f>'C５级比赛'!L15*30</f>
        <v>58.6363636363635</v>
      </c>
      <c r="M15" s="16">
        <f>'C５级比赛'!M15*30</f>
        <v>53.7500000000001</v>
      </c>
      <c r="N15" s="38">
        <f>'C５级比赛'!N15*30</f>
        <v>2302.57088744589</v>
      </c>
      <c r="O15" s="15">
        <f>'C５级比赛'!O15*30</f>
        <v>95.9404536435786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72">
      <c r="A16" s="20" t="s">
        <v>54</v>
      </c>
      <c r="B16" s="18">
        <f>'C５级比赛'!B16*30</f>
        <v>684</v>
      </c>
      <c r="C16" s="18">
        <f>'C５级比赛'!C16*30</f>
        <v>478.8</v>
      </c>
      <c r="D16" s="16">
        <f>'C５级比赛'!D16*30</f>
        <v>342</v>
      </c>
      <c r="E16" s="16">
        <f>'C５级比赛'!E16*30</f>
        <v>239.4</v>
      </c>
      <c r="F16" s="16">
        <f>'C５级比赛'!F16*30</f>
        <v>136.8</v>
      </c>
      <c r="G16" s="16">
        <f>'C５级比赛'!G16*30</f>
        <v>114</v>
      </c>
      <c r="H16" s="16">
        <f>'C５级比赛'!H16*30</f>
        <v>97.7142857142857</v>
      </c>
      <c r="I16" s="16">
        <f>'C５级比赛'!I16*30</f>
        <v>85.5</v>
      </c>
      <c r="J16" s="16">
        <f>'C５级比赛'!J16*30</f>
        <v>75.9999999999999</v>
      </c>
      <c r="K16" s="16">
        <f>'C５级比赛'!K16*30</f>
        <v>68.4</v>
      </c>
      <c r="L16" s="16">
        <f>'C５级比赛'!L16*30</f>
        <v>62.1818181818181</v>
      </c>
      <c r="M16" s="16">
        <f>'C５级比赛'!M16*30</f>
        <v>57</v>
      </c>
      <c r="N16" s="16">
        <f>'C５级比赛'!N16*30</f>
        <v>52.6153846153845</v>
      </c>
      <c r="O16" s="38">
        <f>'C５级比赛'!O16*30</f>
        <v>2494.41148851149</v>
      </c>
      <c r="P16" s="15">
        <f>'C５级比赛'!P16*30</f>
        <v>95.938903404288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</row>
    <row r="17" spans="1:172">
      <c r="A17" s="20" t="s">
        <v>55</v>
      </c>
      <c r="B17" s="18">
        <f>'C５级比赛'!B17*30</f>
        <v>732</v>
      </c>
      <c r="C17" s="18">
        <f>'C５级比赛'!C17*30</f>
        <v>512.4</v>
      </c>
      <c r="D17" s="16">
        <f>'C５级比赛'!D17*30</f>
        <v>366</v>
      </c>
      <c r="E17" s="16">
        <f>'C５级比赛'!E17*30</f>
        <v>256.2</v>
      </c>
      <c r="F17" s="16">
        <f>'C５级比赛'!F17*30</f>
        <v>146.4</v>
      </c>
      <c r="G17" s="16">
        <f>'C５级比赛'!G17*30</f>
        <v>122</v>
      </c>
      <c r="H17" s="16">
        <f>'C５级比赛'!H17*30</f>
        <v>104.571428571429</v>
      </c>
      <c r="I17" s="16">
        <f>'C５级比赛'!I17*30</f>
        <v>91.5</v>
      </c>
      <c r="J17" s="16">
        <f>'C５级比赛'!J17*30</f>
        <v>81.3333333333333</v>
      </c>
      <c r="K17" s="16">
        <f>'C５级比赛'!K17*30</f>
        <v>73.2</v>
      </c>
      <c r="L17" s="16">
        <f>'C５级比赛'!L17*30</f>
        <v>66.5454545454546</v>
      </c>
      <c r="M17" s="16">
        <f>'C５级比赛'!M17*30</f>
        <v>60.9999999999999</v>
      </c>
      <c r="N17" s="16">
        <f>'C５级比赛'!N17*30</f>
        <v>56.3076923076924</v>
      </c>
      <c r="O17" s="16">
        <f>'C５级比赛'!O17*30</f>
        <v>52.2857142857142</v>
      </c>
      <c r="P17" s="38">
        <f>'C５级比赛'!P17*30</f>
        <v>2721.74362304362</v>
      </c>
      <c r="Q17" s="15">
        <f>'C５级比赛'!Q17*30</f>
        <v>97.2051293944151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</row>
    <row r="18" spans="1:172">
      <c r="A18" s="20" t="s">
        <v>56</v>
      </c>
      <c r="B18" s="18">
        <f>'C５级比赛'!B18*30</f>
        <v>780</v>
      </c>
      <c r="C18" s="18">
        <f>'C５级比赛'!C18*30</f>
        <v>546</v>
      </c>
      <c r="D18" s="16">
        <f>'C５级比赛'!D18*30</f>
        <v>390</v>
      </c>
      <c r="E18" s="16">
        <f>'C５级比赛'!E18*30</f>
        <v>273</v>
      </c>
      <c r="F18" s="16">
        <f>'C５级比赛'!F18*30</f>
        <v>156</v>
      </c>
      <c r="G18" s="16">
        <f>'C５级比赛'!G18*30</f>
        <v>130</v>
      </c>
      <c r="H18" s="16">
        <f>'C５级比赛'!H18*30</f>
        <v>111.428571428571</v>
      </c>
      <c r="I18" s="16">
        <f>'C５级比赛'!I18*30</f>
        <v>97.5</v>
      </c>
      <c r="J18" s="16">
        <f>'C５级比赛'!J18*30</f>
        <v>86.6666666666667</v>
      </c>
      <c r="K18" s="16">
        <f>'C５级比赛'!K18*30</f>
        <v>78</v>
      </c>
      <c r="L18" s="16">
        <f>'C５级比赛'!L18*30</f>
        <v>70.9090909090908</v>
      </c>
      <c r="M18" s="16">
        <f>'C５级比赛'!M18*30</f>
        <v>65.0000000000001</v>
      </c>
      <c r="N18" s="16">
        <f>'C５级比赛'!N18*30</f>
        <v>60</v>
      </c>
      <c r="O18" s="16">
        <f>'C５级比赛'!O18*30</f>
        <v>55.7142857142858</v>
      </c>
      <c r="P18" s="16">
        <f>'C５级比赛'!P18*30</f>
        <v>51.9999999999999</v>
      </c>
      <c r="Q18" s="38">
        <f>'C５级比赛'!Q18*30</f>
        <v>2952.21861471861</v>
      </c>
      <c r="R18" s="15">
        <f>'C５级比赛'!R18*30</f>
        <v>98.4072871572871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</row>
    <row r="19" spans="1:172">
      <c r="A19" s="20" t="s">
        <v>57</v>
      </c>
      <c r="B19" s="18">
        <f>'C５级比赛'!B19*30</f>
        <v>885</v>
      </c>
      <c r="C19" s="18">
        <f>'C５级比赛'!C19*30</f>
        <v>619.5</v>
      </c>
      <c r="D19" s="16">
        <f>'C５级比赛'!D19*30</f>
        <v>442.5</v>
      </c>
      <c r="E19" s="16">
        <f>'C５级比赛'!E19*30</f>
        <v>309.75</v>
      </c>
      <c r="F19" s="16">
        <f>'C５级比赛'!F19*30</f>
        <v>177</v>
      </c>
      <c r="G19" s="16">
        <f>'C５级比赛'!G19*30</f>
        <v>147.5</v>
      </c>
      <c r="H19" s="16">
        <f>'C５级比赛'!H19*30</f>
        <v>126.428571428571</v>
      </c>
      <c r="I19" s="16">
        <f>'C５级比赛'!I19*30</f>
        <v>110.625</v>
      </c>
      <c r="J19" s="16">
        <f>'C５级比赛'!J19*30</f>
        <v>98.3333333333334</v>
      </c>
      <c r="K19" s="16">
        <f>'C５级比赛'!K19*30</f>
        <v>88.5</v>
      </c>
      <c r="L19" s="16">
        <f>'C５级比赛'!L19*30</f>
        <v>80.4545454545454</v>
      </c>
      <c r="M19" s="16">
        <f>'C５级比赛'!M19*30</f>
        <v>73.7499999999999</v>
      </c>
      <c r="N19" s="16">
        <f>'C５级比赛'!N19*30</f>
        <v>68.0769230769231</v>
      </c>
      <c r="O19" s="16">
        <f>'C５级比赛'!O19*30</f>
        <v>63.2142857142858</v>
      </c>
      <c r="P19" s="16">
        <f>'C５级比赛'!P19*30</f>
        <v>59.0000000000001</v>
      </c>
      <c r="Q19" s="16">
        <f>'C５级比赛'!Q19*30</f>
        <v>55.3125</v>
      </c>
      <c r="R19" s="38">
        <f>'C５级比赛'!R19*30</f>
        <v>3460.25765900766</v>
      </c>
      <c r="S19" s="15">
        <f>'C５级比赛'!S19*30</f>
        <v>98.864504543076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</row>
    <row r="20" spans="1:172">
      <c r="A20" s="20" t="s">
        <v>58</v>
      </c>
      <c r="B20" s="18">
        <f>'C５级比赛'!B20*30</f>
        <v>1005</v>
      </c>
      <c r="C20" s="18">
        <f>'C５级比赛'!C20*30</f>
        <v>703.5</v>
      </c>
      <c r="D20" s="16">
        <f>'C５级比赛'!D20*30</f>
        <v>502.5</v>
      </c>
      <c r="E20" s="16">
        <f>'C５级比赛'!E20*30</f>
        <v>351.75</v>
      </c>
      <c r="F20" s="16">
        <f>'C５级比赛'!F20*30</f>
        <v>201</v>
      </c>
      <c r="G20" s="16">
        <f>'C５级比赛'!G20*30</f>
        <v>167.5</v>
      </c>
      <c r="H20" s="16">
        <f>'C５级比赛'!H20*30</f>
        <v>143.571428571429</v>
      </c>
      <c r="I20" s="16">
        <f>'C５级比赛'!I20*30</f>
        <v>125.625</v>
      </c>
      <c r="J20" s="16">
        <f>'C５级比赛'!J20*30</f>
        <v>111.666666666667</v>
      </c>
      <c r="K20" s="16">
        <f>'C５级比赛'!K20*30</f>
        <v>100.5</v>
      </c>
      <c r="L20" s="16">
        <f>'C５级比赛'!L20*30</f>
        <v>91.3636363636365</v>
      </c>
      <c r="M20" s="16">
        <f>'C５级比赛'!M20*30</f>
        <v>83.7500000000001</v>
      </c>
      <c r="N20" s="16">
        <f>'C５级比赛'!N20*30</f>
        <v>77.3076923076924</v>
      </c>
      <c r="O20" s="16">
        <f>'C５级比赛'!O20*30</f>
        <v>71.7857142857142</v>
      </c>
      <c r="P20" s="16">
        <f>'C５级比赛'!P20*30</f>
        <v>66.9999999999999</v>
      </c>
      <c r="Q20" s="16">
        <f>'C５级比赛'!Q20*30</f>
        <v>62.8125</v>
      </c>
      <c r="R20" s="16">
        <f>'C５级比赛'!R20*30</f>
        <v>55.8333333333333</v>
      </c>
      <c r="S20" s="38">
        <f>'C５级比赛'!S20*30</f>
        <v>4096.94513819514</v>
      </c>
      <c r="T20" s="15">
        <f>'C５级比赛'!T20*30</f>
        <v>99.9254911754912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</row>
    <row r="21" spans="1:172">
      <c r="A21" s="20" t="s">
        <v>59</v>
      </c>
      <c r="B21" s="18">
        <f>'C５级比赛'!B21*30</f>
        <v>1179</v>
      </c>
      <c r="C21" s="18">
        <f>'C５级比赛'!C21*30</f>
        <v>828</v>
      </c>
      <c r="D21" s="16">
        <f>'C５级比赛'!D21*30</f>
        <v>589.5</v>
      </c>
      <c r="E21" s="16">
        <f>'C５级比赛'!E21*30</f>
        <v>412.65</v>
      </c>
      <c r="F21" s="16">
        <f>'C５级比赛'!F21*30</f>
        <v>235.8</v>
      </c>
      <c r="G21" s="16">
        <f>'C５级比赛'!G21*30</f>
        <v>196.5</v>
      </c>
      <c r="H21" s="16">
        <f>'C５级比赛'!H21*30</f>
        <v>168.428571428571</v>
      </c>
      <c r="I21" s="16">
        <f>'C５级比赛'!I21*30</f>
        <v>147.375</v>
      </c>
      <c r="J21" s="16">
        <f>'C５级比赛'!J21*30</f>
        <v>131</v>
      </c>
      <c r="K21" s="16">
        <f>'C５级比赛'!K21*30</f>
        <v>117.9</v>
      </c>
      <c r="L21" s="16">
        <f>'C５级比赛'!L21*30</f>
        <v>107.181818181818</v>
      </c>
      <c r="M21" s="16">
        <f>'C５级比赛'!M21*30</f>
        <v>98.25</v>
      </c>
      <c r="N21" s="16">
        <f>'C５级比赛'!N21*30</f>
        <v>90.6923076923076</v>
      </c>
      <c r="O21" s="16">
        <f>'C５级比赛'!O21*30</f>
        <v>84.2142857142858</v>
      </c>
      <c r="P21" s="16">
        <f>'C５级比赛'!P21*30</f>
        <v>78.6</v>
      </c>
      <c r="Q21" s="16">
        <f>'C５级比赛'!Q21*30</f>
        <v>73.6875</v>
      </c>
      <c r="R21" s="16">
        <f>'C５级比赛'!R21*30</f>
        <v>65.5</v>
      </c>
      <c r="S21" s="16">
        <f>'C５级比赛'!S21*30</f>
        <v>58.95</v>
      </c>
      <c r="T21" s="38">
        <f>'C５级比赛'!T21*30</f>
        <v>5103.71698301698</v>
      </c>
      <c r="U21" s="15">
        <f>'C５级比赛'!U21*30</f>
        <v>100.072882019941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72">
      <c r="A22" s="17" t="s">
        <v>60</v>
      </c>
      <c r="B22" s="18">
        <f>'C５级比赛'!B22*30</f>
        <v>1356</v>
      </c>
      <c r="C22" s="18">
        <f>'C５级比赛'!C22*30</f>
        <v>949.2</v>
      </c>
      <c r="D22" s="16">
        <f>'C５级比赛'!D22*30</f>
        <v>678</v>
      </c>
      <c r="E22" s="16">
        <f>'C５级比赛'!E22*30</f>
        <v>474.6</v>
      </c>
      <c r="F22" s="16">
        <f>'C５级比赛'!F22*30</f>
        <v>271.2</v>
      </c>
      <c r="G22" s="16">
        <f>'C５级比赛'!G22*30</f>
        <v>226</v>
      </c>
      <c r="H22" s="16">
        <f>'C５级比赛'!H22*30</f>
        <v>193.714285714286</v>
      </c>
      <c r="I22" s="16">
        <f>'C５级比赛'!I22*30</f>
        <v>169.5</v>
      </c>
      <c r="J22" s="16">
        <f>'C５级比赛'!J22*30</f>
        <v>150.666666666667</v>
      </c>
      <c r="K22" s="16">
        <f>'C５级比赛'!K22*30</f>
        <v>135.6</v>
      </c>
      <c r="L22" s="16">
        <f>'C５级比赛'!L22*30</f>
        <v>123.272727272727</v>
      </c>
      <c r="M22" s="16">
        <f>'C５级比赛'!M22*30</f>
        <v>113</v>
      </c>
      <c r="N22" s="16">
        <f>'C５级比赛'!N22*30</f>
        <v>104.307692307692</v>
      </c>
      <c r="O22" s="16">
        <f>'C５级比赛'!O22*30</f>
        <v>96.8571428571429</v>
      </c>
      <c r="P22" s="16">
        <f>'C５级比赛'!P22*30</f>
        <v>90.3999999999999</v>
      </c>
      <c r="Q22" s="16">
        <f>'C５级比赛'!Q22*30</f>
        <v>84.75</v>
      </c>
      <c r="R22" s="16">
        <f>'C５级比赛'!R22*30</f>
        <v>75.3333333333333</v>
      </c>
      <c r="S22" s="16">
        <f>'C５级比赛'!S22*30</f>
        <v>67.8</v>
      </c>
      <c r="T22" s="16">
        <f>'C５级比赛'!T22*30</f>
        <v>52.1538461538462</v>
      </c>
      <c r="U22" s="38">
        <f>'C５级比赛'!U22*30</f>
        <v>6127.58774558775</v>
      </c>
      <c r="V22" s="15">
        <f>'C５级比赛'!V22*30</f>
        <v>100.452258124389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72">
      <c r="A23" s="17" t="s">
        <v>61</v>
      </c>
      <c r="B23" s="18">
        <f>'C５级比赛'!B23*30</f>
        <v>1680</v>
      </c>
      <c r="C23" s="18">
        <f>'C５级比赛'!C23*30</f>
        <v>1176</v>
      </c>
      <c r="D23" s="16">
        <f>'C５级比赛'!D23*30</f>
        <v>840</v>
      </c>
      <c r="E23" s="16">
        <f>'C５级比赛'!E23*30</f>
        <v>588</v>
      </c>
      <c r="F23" s="16">
        <f>'C５级比赛'!F23*30</f>
        <v>336</v>
      </c>
      <c r="G23" s="16">
        <f>'C５级比赛'!G23*30</f>
        <v>280</v>
      </c>
      <c r="H23" s="16">
        <f>'C５级比赛'!H23*30</f>
        <v>240</v>
      </c>
      <c r="I23" s="16">
        <f>'C５级比赛'!I23*30</f>
        <v>210</v>
      </c>
      <c r="J23" s="16">
        <f>'C５级比赛'!J23*30</f>
        <v>186.666666666667</v>
      </c>
      <c r="K23" s="16">
        <f>'C５级比赛'!K23*30</f>
        <v>168</v>
      </c>
      <c r="L23" s="16">
        <f>'C５级比赛'!L23*30</f>
        <v>152.727272727273</v>
      </c>
      <c r="M23" s="16">
        <f>'C５级比赛'!M23*30</f>
        <v>140</v>
      </c>
      <c r="N23" s="16">
        <f>'C５级比赛'!N23*30</f>
        <v>129.230769230769</v>
      </c>
      <c r="O23" s="16">
        <f>'C５级比赛'!O23*30</f>
        <v>120</v>
      </c>
      <c r="P23" s="16">
        <f>'C５级比赛'!P23*30</f>
        <v>112</v>
      </c>
      <c r="Q23" s="16">
        <f>'C５级比赛'!Q23*30</f>
        <v>105</v>
      </c>
      <c r="R23" s="16">
        <f>'C５级比赛'!R23*30</f>
        <v>93.3333333333333</v>
      </c>
      <c r="S23" s="16">
        <f>'C５级比赛'!S23*30</f>
        <v>84</v>
      </c>
      <c r="T23" s="16">
        <f>'C５级比赛'!T23*30</f>
        <v>64.6153846153845</v>
      </c>
      <c r="U23" s="16">
        <f>'C５级比赛'!U23*30</f>
        <v>56.0000000000001</v>
      </c>
      <c r="V23" s="38">
        <f>'C５级比赛'!V23*30</f>
        <v>8151.70163170163</v>
      </c>
      <c r="W23" s="15">
        <f>'C５级比赛'!W23*30</f>
        <v>100.638291749403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</row>
    <row r="24" s="2" customFormat="1" spans="1:172">
      <c r="A24" s="19" t="s">
        <v>62</v>
      </c>
      <c r="B24" s="13">
        <f>'C５级比赛'!B24*30</f>
        <v>2070</v>
      </c>
      <c r="C24" s="13">
        <f>'C５级比赛'!C24*30</f>
        <v>1449</v>
      </c>
      <c r="D24" s="13">
        <f>'C５级比赛'!D24*30</f>
        <v>1035</v>
      </c>
      <c r="E24" s="13">
        <f>'C５级比赛'!E24*30</f>
        <v>724.5</v>
      </c>
      <c r="F24" s="13">
        <f>'C５级比赛'!F24*30</f>
        <v>414</v>
      </c>
      <c r="G24" s="13">
        <f>'C５级比赛'!G24*30</f>
        <v>345</v>
      </c>
      <c r="H24" s="13">
        <f>'C５级比赛'!H24*30</f>
        <v>295.714285714286</v>
      </c>
      <c r="I24" s="13">
        <f>'C５级比赛'!I24*30</f>
        <v>258.75</v>
      </c>
      <c r="J24" s="13">
        <f>'C５级比赛'!J24*30</f>
        <v>230</v>
      </c>
      <c r="K24" s="13">
        <f>'C５级比赛'!K24*30</f>
        <v>207</v>
      </c>
      <c r="L24" s="13">
        <f>'C５级比赛'!L24*30</f>
        <v>188.181818181818</v>
      </c>
      <c r="M24" s="13">
        <f>'C５级比赛'!M24*30</f>
        <v>172.5</v>
      </c>
      <c r="N24" s="13">
        <f>'C５级比赛'!N24*30</f>
        <v>159.230769230769</v>
      </c>
      <c r="O24" s="13">
        <f>'C５级比赛'!O24*30</f>
        <v>147.857142857143</v>
      </c>
      <c r="P24" s="13">
        <f>'C５级比赛'!P24*30</f>
        <v>138</v>
      </c>
      <c r="Q24" s="13">
        <f>'C５级比赛'!Q24*30</f>
        <v>129.375</v>
      </c>
      <c r="R24" s="13">
        <f>'C５级比赛'!R24*30</f>
        <v>115</v>
      </c>
      <c r="S24" s="13">
        <f>'C５级比赛'!S24*30</f>
        <v>103.5</v>
      </c>
      <c r="T24" s="13">
        <f>'C５级比赛'!T24*30</f>
        <v>79.6153846153845</v>
      </c>
      <c r="U24" s="13">
        <f>'C５级比赛'!U24*30</f>
        <v>69</v>
      </c>
      <c r="V24" s="13">
        <f>'C５级比赛'!V24*30</f>
        <v>50.4878048780488</v>
      </c>
      <c r="W24" s="38">
        <f>'C５级比赛'!W24*30</f>
        <v>10548.9389878414</v>
      </c>
      <c r="X24" s="15">
        <f>'C５级比赛'!X24*30</f>
        <v>104.444940473678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  <c r="AR24" s="24"/>
      <c r="AS24" s="24"/>
      <c r="AT24" s="24"/>
      <c r="AU24" s="24"/>
      <c r="AV24" s="24"/>
      <c r="AW24" s="24"/>
      <c r="AX24" s="24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</row>
    <row r="25" spans="1:172">
      <c r="A25" s="22" t="s">
        <v>63</v>
      </c>
      <c r="B25" s="16">
        <f>'C５级比赛'!B25*30</f>
        <v>2388</v>
      </c>
      <c r="C25" s="16">
        <f>'C５级比赛'!C25*30</f>
        <v>1671.6</v>
      </c>
      <c r="D25" s="16">
        <f>'C５级比赛'!D25*30</f>
        <v>1194</v>
      </c>
      <c r="E25" s="16">
        <f>'C５级比赛'!E25*30</f>
        <v>835.8</v>
      </c>
      <c r="F25" s="16">
        <f>'C５级比赛'!F25*30</f>
        <v>477.6</v>
      </c>
      <c r="G25" s="16">
        <f>'C５级比赛'!G25*30</f>
        <v>398</v>
      </c>
      <c r="H25" s="16">
        <f>'C５级比赛'!H25*30</f>
        <v>341.142857142857</v>
      </c>
      <c r="I25" s="16">
        <f>'C５级比赛'!I25*30</f>
        <v>298.5</v>
      </c>
      <c r="J25" s="16">
        <f>'C５级比赛'!J25*30</f>
        <v>265.333333333333</v>
      </c>
      <c r="K25" s="16">
        <f>'C５级比赛'!K25*30</f>
        <v>238.8</v>
      </c>
      <c r="L25" s="16">
        <f>'C５级比赛'!L25*30</f>
        <v>217.090909090909</v>
      </c>
      <c r="M25" s="16">
        <f>'C５级比赛'!M25*30</f>
        <v>199</v>
      </c>
      <c r="N25" s="16">
        <f>'C５级比赛'!N25*30</f>
        <v>183.692307692308</v>
      </c>
      <c r="O25" s="16">
        <f>'C５级比赛'!O25*30</f>
        <v>170.571428571429</v>
      </c>
      <c r="P25" s="16">
        <f>'C５级比赛'!P25*30</f>
        <v>159.2</v>
      </c>
      <c r="Q25" s="16">
        <f>'C５级比赛'!Q25*30</f>
        <v>149.25</v>
      </c>
      <c r="R25" s="16">
        <f>'C５级比赛'!R25*30</f>
        <v>132.666666666667</v>
      </c>
      <c r="S25" s="16">
        <f>'C５级比赛'!S25*30</f>
        <v>119.4</v>
      </c>
      <c r="T25" s="16">
        <f>'C５级比赛'!T25*30</f>
        <v>91.8461538461538</v>
      </c>
      <c r="U25" s="16">
        <f>'C５级比赛'!U25*30</f>
        <v>79.6</v>
      </c>
      <c r="V25" s="16">
        <f>'C５级比赛'!V25*30</f>
        <v>58.2439024390244</v>
      </c>
      <c r="W25" s="16">
        <f>'C５级比赛'!W25*30</f>
        <v>46.8235294117647</v>
      </c>
      <c r="X25" s="38">
        <f>'C５级比赛'!X25*30</f>
        <v>12637.7359235695</v>
      </c>
      <c r="Y25" s="15">
        <f>'C５级比赛'!Y25*30</f>
        <v>104.444098541897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</row>
    <row r="26" spans="1:172">
      <c r="A26" s="22" t="s">
        <v>64</v>
      </c>
      <c r="B26" s="16">
        <f>'C５级比赛'!B26*30</f>
        <v>2700</v>
      </c>
      <c r="C26" s="16">
        <f>'C５级比赛'!C26*30</f>
        <v>1890</v>
      </c>
      <c r="D26" s="16">
        <f>'C５级比赛'!D26*30</f>
        <v>1350</v>
      </c>
      <c r="E26" s="16">
        <f>'C５级比赛'!E26*30</f>
        <v>945</v>
      </c>
      <c r="F26" s="16">
        <f>'C５级比赛'!F26*30</f>
        <v>540</v>
      </c>
      <c r="G26" s="16">
        <f>'C５级比赛'!G26*30</f>
        <v>450</v>
      </c>
      <c r="H26" s="16">
        <f>'C５级比赛'!H26*30</f>
        <v>385.714285714286</v>
      </c>
      <c r="I26" s="16">
        <f>'C５级比赛'!I26*30</f>
        <v>337.5</v>
      </c>
      <c r="J26" s="16">
        <f>'C５级比赛'!J26*30</f>
        <v>300</v>
      </c>
      <c r="K26" s="16">
        <f>'C５级比赛'!K26*30</f>
        <v>270</v>
      </c>
      <c r="L26" s="16">
        <f>'C５级比赛'!L26*30</f>
        <v>245.454545454545</v>
      </c>
      <c r="M26" s="16">
        <f>'C５级比赛'!M26*30</f>
        <v>225</v>
      </c>
      <c r="N26" s="16">
        <f>'C５级比赛'!N26*30</f>
        <v>207.692307692308</v>
      </c>
      <c r="O26" s="16">
        <f>'C５级比赛'!O26*30</f>
        <v>192.857142857143</v>
      </c>
      <c r="P26" s="16">
        <f>'C５级比赛'!P26*30</f>
        <v>180</v>
      </c>
      <c r="Q26" s="16">
        <f>'C５级比赛'!Q26*30</f>
        <v>168.75</v>
      </c>
      <c r="R26" s="16">
        <f>'C５级比赛'!R26*30</f>
        <v>150</v>
      </c>
      <c r="S26" s="16">
        <f>'C５级比赛'!S26*30</f>
        <v>135</v>
      </c>
      <c r="T26" s="16">
        <f>'C５级比赛'!T26*30</f>
        <v>103.846153846154</v>
      </c>
      <c r="U26" s="16">
        <f>'C５级比赛'!U26*30</f>
        <v>90</v>
      </c>
      <c r="V26" s="16">
        <f>'C５级比赛'!V26*30</f>
        <v>65.8536585365854</v>
      </c>
      <c r="W26" s="16">
        <f>'C５级比赛'!W26*30</f>
        <v>52.9411764705882</v>
      </c>
      <c r="X26" s="16">
        <f>'C５级比赛'!X26*30</f>
        <v>44.2622950819671</v>
      </c>
      <c r="Y26" s="38">
        <f>'C５级比赛'!Y26*30</f>
        <v>14731.5203518405</v>
      </c>
      <c r="Z26" s="15">
        <f>'C５级比赛'!Z26*30</f>
        <v>104.478867743549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</row>
    <row r="27" spans="1:172">
      <c r="A27" s="22" t="s">
        <v>65</v>
      </c>
      <c r="B27" s="16">
        <f>'C５级比赛'!B27*30</f>
        <v>3006</v>
      </c>
      <c r="C27" s="16">
        <f>'C５级比赛'!C27*30</f>
        <v>2104.2</v>
      </c>
      <c r="D27" s="16">
        <f>'C５级比赛'!D27*30</f>
        <v>1503</v>
      </c>
      <c r="E27" s="16">
        <f>'C５级比赛'!E27*30</f>
        <v>1052.1</v>
      </c>
      <c r="F27" s="16">
        <f>'C５级比赛'!F27*30</f>
        <v>601.2</v>
      </c>
      <c r="G27" s="16">
        <f>'C５级比赛'!G27*30</f>
        <v>501</v>
      </c>
      <c r="H27" s="16">
        <f>'C５级比赛'!H27*30</f>
        <v>429.428571428571</v>
      </c>
      <c r="I27" s="16">
        <f>'C５级比赛'!I27*30</f>
        <v>375.75</v>
      </c>
      <c r="J27" s="16">
        <f>'C５级比赛'!J27*30</f>
        <v>334</v>
      </c>
      <c r="K27" s="16">
        <f>'C５级比赛'!K27*30</f>
        <v>300.6</v>
      </c>
      <c r="L27" s="16">
        <f>'C５级比赛'!L27*30</f>
        <v>273.272727272727</v>
      </c>
      <c r="M27" s="16">
        <f>'C５级比赛'!M27*30</f>
        <v>250.5</v>
      </c>
      <c r="N27" s="16">
        <f>'C５级比赛'!N27*30</f>
        <v>231.230769230769</v>
      </c>
      <c r="O27" s="16">
        <f>'C５级比赛'!O27*30</f>
        <v>214.714285714286</v>
      </c>
      <c r="P27" s="16">
        <f>'C５级比赛'!P27*30</f>
        <v>200.4</v>
      </c>
      <c r="Q27" s="16">
        <f>'C５级比赛'!Q27*30</f>
        <v>187.875</v>
      </c>
      <c r="R27" s="16">
        <f>'C５级比赛'!R27*30</f>
        <v>167</v>
      </c>
      <c r="S27" s="16">
        <f>'C５级比赛'!S27*30</f>
        <v>150.3</v>
      </c>
      <c r="T27" s="16">
        <f>'C５级比赛'!T27*30</f>
        <v>115.615384615385</v>
      </c>
      <c r="U27" s="16">
        <f>'C５级比赛'!U27*30</f>
        <v>100.2</v>
      </c>
      <c r="V27" s="16">
        <f>'C５级比赛'!V27*30</f>
        <v>73.3170731707317</v>
      </c>
      <c r="W27" s="16">
        <f>'C５级比赛'!W27*30</f>
        <v>58.9411764705882</v>
      </c>
      <c r="X27" s="16">
        <f>'C５级比赛'!X27*30</f>
        <v>49.2786885245902</v>
      </c>
      <c r="Y27" s="16">
        <f>'C５级比赛'!Y27*30</f>
        <v>42.338028169014</v>
      </c>
      <c r="Z27" s="38">
        <f>'C５级比赛'!Z27*30</f>
        <v>16824.4729400725</v>
      </c>
      <c r="AA27" s="15">
        <f>'C５级比赛'!AA27*30</f>
        <v>104.499831925916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</row>
    <row r="28" spans="1:172">
      <c r="A28" s="22" t="s">
        <v>66</v>
      </c>
      <c r="B28" s="16">
        <f>'C５级比赛'!B28*30</f>
        <v>3306</v>
      </c>
      <c r="C28" s="16">
        <f>'C５级比赛'!C28*30</f>
        <v>2314.2</v>
      </c>
      <c r="D28" s="16">
        <f>'C５级比赛'!D28*30</f>
        <v>1653</v>
      </c>
      <c r="E28" s="16">
        <f>'C５级比赛'!E28*30</f>
        <v>1157.1</v>
      </c>
      <c r="F28" s="16">
        <f>'C５级比赛'!F28*30</f>
        <v>661.2</v>
      </c>
      <c r="G28" s="16">
        <f>'C５级比赛'!G28*30</f>
        <v>551</v>
      </c>
      <c r="H28" s="16">
        <f>'C５级比赛'!H28*30</f>
        <v>472.285714285714</v>
      </c>
      <c r="I28" s="16">
        <f>'C５级比赛'!I28*30</f>
        <v>413.25</v>
      </c>
      <c r="J28" s="16">
        <f>'C５级比赛'!J28*30</f>
        <v>367.333333333333</v>
      </c>
      <c r="K28" s="16">
        <f>'C５级比赛'!K28*30</f>
        <v>330.6</v>
      </c>
      <c r="L28" s="16">
        <f>'C５级比赛'!L28*30</f>
        <v>300.545454545455</v>
      </c>
      <c r="M28" s="16">
        <f>'C５级比赛'!M28*30</f>
        <v>275.5</v>
      </c>
      <c r="N28" s="16">
        <f>'C５级比赛'!N28*30</f>
        <v>254.307692307692</v>
      </c>
      <c r="O28" s="16">
        <f>'C５级比赛'!O28*30</f>
        <v>236.142857142857</v>
      </c>
      <c r="P28" s="16">
        <f>'C５级比赛'!P28*30</f>
        <v>220.4</v>
      </c>
      <c r="Q28" s="16">
        <f>'C５级比赛'!Q28*30</f>
        <v>206.625</v>
      </c>
      <c r="R28" s="16">
        <f>'C５级比赛'!R28*30</f>
        <v>183.666666666667</v>
      </c>
      <c r="S28" s="16">
        <f>'C５级比赛'!S28*30</f>
        <v>165.3</v>
      </c>
      <c r="T28" s="16">
        <f>'C５级比赛'!T28*30</f>
        <v>127.153846153846</v>
      </c>
      <c r="U28" s="16">
        <f>'C５级比赛'!U28*30</f>
        <v>110.2</v>
      </c>
      <c r="V28" s="16">
        <f>'C５级比赛'!V28*30</f>
        <v>80.6341463414634</v>
      </c>
      <c r="W28" s="16">
        <f>'C５级比赛'!W28*30</f>
        <v>64.8235294117647</v>
      </c>
      <c r="X28" s="16">
        <f>'C５级比赛'!X28*30</f>
        <v>54.1967213114754</v>
      </c>
      <c r="Y28" s="16">
        <f>'C５级比赛'!Y28*30</f>
        <v>46.5633802816901</v>
      </c>
      <c r="Z28" s="16">
        <f>'C５级比赛'!Z28*30</f>
        <v>40.8148148148147</v>
      </c>
      <c r="AA28" s="38">
        <f>'C５级比赛'!AA28*30</f>
        <v>18911.7102039964</v>
      </c>
      <c r="AB28" s="15">
        <f>'C５级比赛'!AB28*30</f>
        <v>104.484586762411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72">
      <c r="A29" s="22" t="s">
        <v>67</v>
      </c>
      <c r="B29" s="16">
        <f>'C５级比赛'!B29*30</f>
        <v>3603</v>
      </c>
      <c r="C29" s="16">
        <f>'C５级比赛'!C29*30</f>
        <v>2522.1</v>
      </c>
      <c r="D29" s="16">
        <f>'C５级比赛'!D29*30</f>
        <v>1801.5</v>
      </c>
      <c r="E29" s="16">
        <f>'C５级比赛'!E29*30</f>
        <v>1261.05</v>
      </c>
      <c r="F29" s="16">
        <f>'C５级比赛'!F29*30</f>
        <v>720.6</v>
      </c>
      <c r="G29" s="16">
        <f>'C５级比赛'!G29*30</f>
        <v>600.5</v>
      </c>
      <c r="H29" s="16">
        <f>'C５级比赛'!H29*30</f>
        <v>514.714285714286</v>
      </c>
      <c r="I29" s="16">
        <f>'C５级比赛'!I29*30</f>
        <v>450.375</v>
      </c>
      <c r="J29" s="16">
        <f>'C５级比赛'!J29*30</f>
        <v>400.333333333333</v>
      </c>
      <c r="K29" s="16">
        <f>'C５级比赛'!K29*30</f>
        <v>360.3</v>
      </c>
      <c r="L29" s="16">
        <f>'C５级比赛'!L29*30</f>
        <v>327.545454545455</v>
      </c>
      <c r="M29" s="16">
        <f>'C５级比赛'!M29*30</f>
        <v>300.25</v>
      </c>
      <c r="N29" s="16">
        <f>'C５级比赛'!N29*30</f>
        <v>277.153846153846</v>
      </c>
      <c r="O29" s="16">
        <f>'C５级比赛'!O29*30</f>
        <v>257.357142857143</v>
      </c>
      <c r="P29" s="16">
        <f>'C５级比赛'!P29*30</f>
        <v>240.2</v>
      </c>
      <c r="Q29" s="16">
        <f>'C５级比赛'!Q29*30</f>
        <v>225.1875</v>
      </c>
      <c r="R29" s="16">
        <f>'C５级比赛'!R29*30</f>
        <v>200.166666666667</v>
      </c>
      <c r="S29" s="16">
        <f>'C５级比赛'!S29*30</f>
        <v>180.15</v>
      </c>
      <c r="T29" s="16">
        <f>'C５级比赛'!T29*30</f>
        <v>138.576923076923</v>
      </c>
      <c r="U29" s="16">
        <f>'C５级比赛'!U29*30</f>
        <v>120.1</v>
      </c>
      <c r="V29" s="16">
        <f>'C５级比赛'!V29*30</f>
        <v>87.8780487804878</v>
      </c>
      <c r="W29" s="16">
        <f>'C５级比赛'!W29*30</f>
        <v>70.6470588235294</v>
      </c>
      <c r="X29" s="16">
        <f>'C５级比赛'!X29*30</f>
        <v>59.0655737704918</v>
      </c>
      <c r="Y29" s="16">
        <f>'C５级比赛'!Y29*30</f>
        <v>50.7464788732394</v>
      </c>
      <c r="Z29" s="16">
        <f>'C５级比赛'!Z29*30</f>
        <v>44.4814814814815</v>
      </c>
      <c r="AA29" s="16">
        <f>'C５级比赛'!AA29*30</f>
        <v>39.5934065934066</v>
      </c>
      <c r="AB29" s="38">
        <f>'C５级比赛'!AB29*30</f>
        <v>21006.609161215</v>
      </c>
      <c r="AC29" s="15">
        <f>'C５级比赛'!AC29*30</f>
        <v>104.510493339378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72">
      <c r="A30" s="22" t="s">
        <v>68</v>
      </c>
      <c r="B30" s="16">
        <f>'C５级比赛'!B30*30</f>
        <v>4176</v>
      </c>
      <c r="C30" s="16">
        <f>'C５级比赛'!C30*30</f>
        <v>2923.2</v>
      </c>
      <c r="D30" s="16">
        <f>'C５级比赛'!D30*30</f>
        <v>2088</v>
      </c>
      <c r="E30" s="16">
        <f>'C５级比赛'!E30*30</f>
        <v>1461.6</v>
      </c>
      <c r="F30" s="16">
        <f>'C５级比赛'!F30*30</f>
        <v>835.2</v>
      </c>
      <c r="G30" s="16">
        <f>'C５级比赛'!G30*30</f>
        <v>696</v>
      </c>
      <c r="H30" s="16">
        <f>'C５级比赛'!H30*30</f>
        <v>596.571428571428</v>
      </c>
      <c r="I30" s="16">
        <f>'C５级比赛'!I30*30</f>
        <v>522</v>
      </c>
      <c r="J30" s="16">
        <f>'C５级比赛'!J30*30</f>
        <v>464</v>
      </c>
      <c r="K30" s="16">
        <f>'C５级比赛'!K30*30</f>
        <v>417.6</v>
      </c>
      <c r="L30" s="16">
        <f>'C５级比赛'!L30*30</f>
        <v>379.636363636364</v>
      </c>
      <c r="M30" s="16">
        <f>'C５级比赛'!M30*30</f>
        <v>348</v>
      </c>
      <c r="N30" s="16">
        <f>'C５级比赛'!N30*30</f>
        <v>321.230769230769</v>
      </c>
      <c r="O30" s="16">
        <f>'C５级比赛'!O30*30</f>
        <v>298.285714285714</v>
      </c>
      <c r="P30" s="16">
        <f>'C５级比赛'!P30*30</f>
        <v>278.4</v>
      </c>
      <c r="Q30" s="16">
        <f>'C５级比赛'!Q30*30</f>
        <v>261</v>
      </c>
      <c r="R30" s="16">
        <f>'C５级比赛'!R30*30</f>
        <v>232</v>
      </c>
      <c r="S30" s="16">
        <f>'C５级比赛'!S30*30</f>
        <v>208.8</v>
      </c>
      <c r="T30" s="16">
        <f>'C５级比赛'!T30*30</f>
        <v>160.615384615385</v>
      </c>
      <c r="U30" s="16">
        <f>'C５级比赛'!U30*30</f>
        <v>139.2</v>
      </c>
      <c r="V30" s="16">
        <f>'C５级比赛'!V30*30</f>
        <v>101.853658536585</v>
      </c>
      <c r="W30" s="16">
        <f>'C５级比赛'!W30*30</f>
        <v>81.8823529411765</v>
      </c>
      <c r="X30" s="16">
        <f>'C５级比赛'!X30*30</f>
        <v>68.4590163934426</v>
      </c>
      <c r="Y30" s="16">
        <f>'C５级比赛'!Y30*30</f>
        <v>58.8169014084507</v>
      </c>
      <c r="Z30" s="16">
        <f>'C５级比赛'!Z30*30</f>
        <v>51.5555555555556</v>
      </c>
      <c r="AA30" s="16">
        <f>'C５级比赛'!AA30*30</f>
        <v>45.8901098901099</v>
      </c>
      <c r="AB30" s="16">
        <f>'C５级比赛'!AB30*30</f>
        <v>41.76</v>
      </c>
      <c r="AC30" s="38">
        <f>'C５级比赛'!AC30*30</f>
        <v>25182.5771460544</v>
      </c>
      <c r="AD30" s="15">
        <f>'C５级比赛'!AD30*30</f>
        <v>104.492021352923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</row>
    <row r="31" spans="1:172">
      <c r="A31" s="22" t="s">
        <v>69</v>
      </c>
      <c r="B31" s="16">
        <f>'C５级比赛'!B31*30</f>
        <v>4740</v>
      </c>
      <c r="C31" s="16">
        <f>'C５级比赛'!C31*30</f>
        <v>3318</v>
      </c>
      <c r="D31" s="16">
        <f>'C５级比赛'!D31*30</f>
        <v>2370</v>
      </c>
      <c r="E31" s="16">
        <f>'C５级比赛'!E31*30</f>
        <v>1659</v>
      </c>
      <c r="F31" s="16">
        <f>'C５级比赛'!F31*30</f>
        <v>948</v>
      </c>
      <c r="G31" s="16">
        <f>'C５级比赛'!G31*30</f>
        <v>790</v>
      </c>
      <c r="H31" s="16">
        <f>'C５级比赛'!H31*30</f>
        <v>677.142857142857</v>
      </c>
      <c r="I31" s="16">
        <f>'C５级比赛'!I31*30</f>
        <v>592.5</v>
      </c>
      <c r="J31" s="16">
        <f>'C５级比赛'!J31*30</f>
        <v>526.666666666667</v>
      </c>
      <c r="K31" s="16">
        <f>'C５级比赛'!K31*30</f>
        <v>474</v>
      </c>
      <c r="L31" s="16">
        <f>'C５级比赛'!L31*30</f>
        <v>430.909090909091</v>
      </c>
      <c r="M31" s="16">
        <f>'C５级比赛'!M31*30</f>
        <v>395</v>
      </c>
      <c r="N31" s="16">
        <f>'C５级比赛'!N31*30</f>
        <v>364.615384615385</v>
      </c>
      <c r="O31" s="16">
        <f>'C５级比赛'!O31*30</f>
        <v>338.571428571429</v>
      </c>
      <c r="P31" s="16">
        <f>'C５级比赛'!P31*30</f>
        <v>316</v>
      </c>
      <c r="Q31" s="16">
        <f>'C５级比赛'!Q31*30</f>
        <v>296.25</v>
      </c>
      <c r="R31" s="16">
        <f>'C５级比赛'!R31*30</f>
        <v>263.333333333333</v>
      </c>
      <c r="S31" s="16">
        <f>'C５级比赛'!S31*30</f>
        <v>237</v>
      </c>
      <c r="T31" s="16">
        <f>'C５级比赛'!T31*30</f>
        <v>182.307692307692</v>
      </c>
      <c r="U31" s="16">
        <f>'C５级比赛'!U31*30</f>
        <v>158</v>
      </c>
      <c r="V31" s="16">
        <f>'C５级比赛'!V31*30</f>
        <v>115.609756097561</v>
      </c>
      <c r="W31" s="16">
        <f>'C５级比赛'!W31*30</f>
        <v>92.9411764705882</v>
      </c>
      <c r="X31" s="16">
        <f>'C５级比赛'!X31*30</f>
        <v>77.7049180327869</v>
      </c>
      <c r="Y31" s="16">
        <f>'C５级比赛'!Y31*30</f>
        <v>66.7605633802817</v>
      </c>
      <c r="Z31" s="16">
        <f>'C５级比赛'!Z31*30</f>
        <v>58.5185185185185</v>
      </c>
      <c r="AA31" s="16">
        <f>'C５级比赛'!AA31*30</f>
        <v>52.0879120879121</v>
      </c>
      <c r="AB31" s="16">
        <f>'C５级比赛'!AB31*30</f>
        <v>47.4</v>
      </c>
      <c r="AC31" s="16">
        <f>'C５级比赛'!AC31*30</f>
        <v>39.1735537190082</v>
      </c>
      <c r="AD31" s="38">
        <f>'C５级比赛'!AD31*30</f>
        <v>29367.1434097005</v>
      </c>
      <c r="AE31" s="15">
        <f>'C５级比赛'!AE31*30</f>
        <v>104.509407151959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72">
      <c r="A32" s="22" t="s">
        <v>70</v>
      </c>
      <c r="B32" s="16">
        <f>'C５级比赛'!B32*30</f>
        <v>5295</v>
      </c>
      <c r="C32" s="16">
        <f>'C５级比赛'!C32*30</f>
        <v>3706.5</v>
      </c>
      <c r="D32" s="16">
        <f>'C５级比赛'!D32*30</f>
        <v>2647.5</v>
      </c>
      <c r="E32" s="16">
        <f>'C５级比赛'!E32*30</f>
        <v>1853.25</v>
      </c>
      <c r="F32" s="16">
        <f>'C５级比赛'!F32*30</f>
        <v>1059</v>
      </c>
      <c r="G32" s="16">
        <f>'C５级比赛'!G32*30</f>
        <v>882.5</v>
      </c>
      <c r="H32" s="16">
        <f>'C５级比赛'!H32*30</f>
        <v>756.428571428571</v>
      </c>
      <c r="I32" s="16">
        <f>'C５级比赛'!I32*30</f>
        <v>661.875</v>
      </c>
      <c r="J32" s="16">
        <f>'C５级比赛'!J32*30</f>
        <v>588.333333333333</v>
      </c>
      <c r="K32" s="16">
        <f>'C５级比赛'!K32*30</f>
        <v>529.5</v>
      </c>
      <c r="L32" s="16">
        <f>'C５级比赛'!L32*30</f>
        <v>481.363636363636</v>
      </c>
      <c r="M32" s="16">
        <f>'C５级比赛'!M32*30</f>
        <v>441.25</v>
      </c>
      <c r="N32" s="16">
        <f>'C５级比赛'!N32*30</f>
        <v>407.307692307692</v>
      </c>
      <c r="O32" s="16">
        <f>'C５级比赛'!O32*30</f>
        <v>378.214285714286</v>
      </c>
      <c r="P32" s="16">
        <f>'C５级比赛'!P32*30</f>
        <v>353</v>
      </c>
      <c r="Q32" s="16">
        <f>'C５级比赛'!Q32*30</f>
        <v>330.9375</v>
      </c>
      <c r="R32" s="16">
        <f>'C５级比赛'!R32*30</f>
        <v>294.166666666667</v>
      </c>
      <c r="S32" s="16">
        <f>'C５级比赛'!S32*30</f>
        <v>264.75</v>
      </c>
      <c r="T32" s="16">
        <f>'C５级比赛'!T32*30</f>
        <v>203.653846153846</v>
      </c>
      <c r="U32" s="16">
        <f>'C５级比赛'!U32*30</f>
        <v>176.5</v>
      </c>
      <c r="V32" s="16">
        <f>'C５级比赛'!V32*30</f>
        <v>129.146341463415</v>
      </c>
      <c r="W32" s="16">
        <f>'C５级比赛'!W32*30</f>
        <v>103.823529411765</v>
      </c>
      <c r="X32" s="16">
        <f>'C５级比赛'!X32*30</f>
        <v>86.8032786885246</v>
      </c>
      <c r="Y32" s="16">
        <f>'C５级比赛'!Y32*30</f>
        <v>74.5774647887324</v>
      </c>
      <c r="Z32" s="16">
        <f>'C５级比赛'!Z32*30</f>
        <v>65.3703703703704</v>
      </c>
      <c r="AA32" s="16">
        <f>'C５级比赛'!AA32*30</f>
        <v>58.1868131868132</v>
      </c>
      <c r="AB32" s="16">
        <f>'C５级比赛'!AB32*30</f>
        <v>52.95</v>
      </c>
      <c r="AC32" s="16">
        <f>'C５级比赛'!AC32*30</f>
        <v>43.7603305785124</v>
      </c>
      <c r="AD32" s="16">
        <f>'C５级比赛'!AD32*30</f>
        <v>37.5531914893617</v>
      </c>
      <c r="AE32" s="38">
        <f>'C５级比赛'!AE32*30</f>
        <v>33556.7651703704</v>
      </c>
      <c r="AF32" s="27">
        <f>'C５级比赛'!AF32*30</f>
        <v>104.53820925349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</row>
    <row r="33" spans="1:172">
      <c r="A33" s="22" t="s">
        <v>71</v>
      </c>
      <c r="B33" s="16">
        <f>'C５级比赛'!B33*30</f>
        <v>5841</v>
      </c>
      <c r="C33" s="16">
        <f>'C５级比赛'!C33*30</f>
        <v>4088.7</v>
      </c>
      <c r="D33" s="16">
        <f>'C５级比赛'!D33*30</f>
        <v>2920.5</v>
      </c>
      <c r="E33" s="16">
        <f>'C５级比赛'!E33*30</f>
        <v>2044.35</v>
      </c>
      <c r="F33" s="16">
        <f>'C５级比赛'!F33*30</f>
        <v>1168.2</v>
      </c>
      <c r="G33" s="16">
        <f>'C５级比赛'!G33*30</f>
        <v>973.5</v>
      </c>
      <c r="H33" s="16">
        <f>'C５级比赛'!H33*30</f>
        <v>834.428571428571</v>
      </c>
      <c r="I33" s="16">
        <f>'C５级比赛'!I33*30</f>
        <v>730.125</v>
      </c>
      <c r="J33" s="16">
        <f>'C５级比赛'!J33*30</f>
        <v>649</v>
      </c>
      <c r="K33" s="16">
        <f>'C５级比赛'!K33*30</f>
        <v>584.1</v>
      </c>
      <c r="L33" s="16">
        <f>'C５级比赛'!L33*30</f>
        <v>531</v>
      </c>
      <c r="M33" s="16">
        <f>'C５级比赛'!M33*30</f>
        <v>486.75</v>
      </c>
      <c r="N33" s="16">
        <f>'C５级比赛'!N33*30</f>
        <v>449.307692307692</v>
      </c>
      <c r="O33" s="16">
        <f>'C５级比赛'!O33*30</f>
        <v>417.214285714286</v>
      </c>
      <c r="P33" s="16">
        <f>'C５级比赛'!P33*30</f>
        <v>389.4</v>
      </c>
      <c r="Q33" s="16">
        <f>'C５级比赛'!Q33*30</f>
        <v>365.0625</v>
      </c>
      <c r="R33" s="16">
        <f>'C５级比赛'!R33*30</f>
        <v>324.5</v>
      </c>
      <c r="S33" s="16">
        <f>'C５级比赛'!S33*30</f>
        <v>292.05</v>
      </c>
      <c r="T33" s="16">
        <f>'C５级比赛'!T33*30</f>
        <v>224.653846153846</v>
      </c>
      <c r="U33" s="16">
        <f>'C５级比赛'!U33*30</f>
        <v>194.7</v>
      </c>
      <c r="V33" s="16">
        <f>'C５级比赛'!V33*30</f>
        <v>142.463414634146</v>
      </c>
      <c r="W33" s="16">
        <f>'C５级比赛'!W33*30</f>
        <v>114.529411764706</v>
      </c>
      <c r="X33" s="16">
        <f>'C５级比赛'!X33*30</f>
        <v>95.7540983606557</v>
      </c>
      <c r="Y33" s="16">
        <f>'C５级比赛'!Y33*30</f>
        <v>82.2676056338028</v>
      </c>
      <c r="Z33" s="16">
        <f>'C５级比赛'!Z33*30</f>
        <v>72.1111111111111</v>
      </c>
      <c r="AA33" s="16">
        <f>'C５级比赛'!AA33*30</f>
        <v>64.1868131868132</v>
      </c>
      <c r="AB33" s="16">
        <f>'C５级比赛'!AB33*30</f>
        <v>58.41</v>
      </c>
      <c r="AC33" s="16">
        <f>'C５级比赛'!AC33*30</f>
        <v>48.2727272727273</v>
      </c>
      <c r="AD33" s="16">
        <f>'C５级比赛'!AD33*30</f>
        <v>41.4255319148936</v>
      </c>
      <c r="AE33" s="16">
        <f>'C５级比赛'!AE33*30</f>
        <v>36.2795031055902</v>
      </c>
      <c r="AF33" s="39">
        <f>'C５级比赛'!AF33*30</f>
        <v>37742.5995729964</v>
      </c>
      <c r="AG33" s="27">
        <f>'C５级比赛'!AG33*30</f>
        <v>104.55013732132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</row>
    <row r="34" spans="1:172">
      <c r="A34" s="22" t="s">
        <v>72</v>
      </c>
      <c r="B34" s="16">
        <f>'C５级比赛'!B34*30</f>
        <v>6381</v>
      </c>
      <c r="C34" s="16">
        <f>'C５级比赛'!C34*30</f>
        <v>4466.7</v>
      </c>
      <c r="D34" s="16">
        <f>'C５级比赛'!D34*30</f>
        <v>3190.5</v>
      </c>
      <c r="E34" s="16">
        <f>'C５级比赛'!E34*30</f>
        <v>2233.35</v>
      </c>
      <c r="F34" s="16">
        <f>'C５级比赛'!F34*30</f>
        <v>1276.2</v>
      </c>
      <c r="G34" s="16">
        <f>'C５级比赛'!G34*30</f>
        <v>1063.5</v>
      </c>
      <c r="H34" s="16">
        <f>'C５级比赛'!H34*30</f>
        <v>911.571428571428</v>
      </c>
      <c r="I34" s="16">
        <f>'C５级比赛'!I34*30</f>
        <v>797.625</v>
      </c>
      <c r="J34" s="16">
        <f>'C５级比赛'!J34*30</f>
        <v>709</v>
      </c>
      <c r="K34" s="16">
        <f>'C５级比赛'!K34*30</f>
        <v>638.1</v>
      </c>
      <c r="L34" s="16">
        <f>'C５级比赛'!L34*30</f>
        <v>580.090909090909</v>
      </c>
      <c r="M34" s="16">
        <f>'C５级比赛'!M34*30</f>
        <v>531.75</v>
      </c>
      <c r="N34" s="16">
        <f>'C５级比赛'!N34*30</f>
        <v>490.846153846154</v>
      </c>
      <c r="O34" s="16">
        <f>'C５级比赛'!O34*30</f>
        <v>455.785714285714</v>
      </c>
      <c r="P34" s="16">
        <f>'C５级比赛'!P34*30</f>
        <v>425.4</v>
      </c>
      <c r="Q34" s="16">
        <f>'C５级比赛'!Q34*30</f>
        <v>398.8125</v>
      </c>
      <c r="R34" s="16">
        <f>'C５级比赛'!R34*30</f>
        <v>354.5</v>
      </c>
      <c r="S34" s="16">
        <f>'C５级比赛'!S34*30</f>
        <v>319.05</v>
      </c>
      <c r="T34" s="16">
        <f>'C５级比赛'!T34*30</f>
        <v>245.423076923077</v>
      </c>
      <c r="U34" s="16">
        <f>'C５级比赛'!U34*30</f>
        <v>212.7</v>
      </c>
      <c r="V34" s="16">
        <f>'C５级比赛'!V34*30</f>
        <v>155.634146341463</v>
      </c>
      <c r="W34" s="16">
        <f>'C５级比赛'!W34*30</f>
        <v>125.117647058824</v>
      </c>
      <c r="X34" s="16">
        <f>'C５级比赛'!X34*30</f>
        <v>104.606557377049</v>
      </c>
      <c r="Y34" s="16">
        <f>'C５级比赛'!Y34*30</f>
        <v>89.8732394366197</v>
      </c>
      <c r="Z34" s="16">
        <f>'C５级比赛'!Z34*30</f>
        <v>78.7777777777778</v>
      </c>
      <c r="AA34" s="16">
        <f>'C５级比赛'!AA34*30</f>
        <v>70.1208791208791</v>
      </c>
      <c r="AB34" s="16">
        <f>'C５级比赛'!AB34*30</f>
        <v>63.81</v>
      </c>
      <c r="AC34" s="16">
        <f>'C５级比赛'!AC34*30</f>
        <v>52.7355371900826</v>
      </c>
      <c r="AD34" s="16">
        <f>'C５级比赛'!AD34*30</f>
        <v>45.2553191489362</v>
      </c>
      <c r="AE34" s="16">
        <f>'C５级比赛'!AE34*30</f>
        <v>39.6335403726708</v>
      </c>
      <c r="AF34" s="25">
        <f>'C５级比赛'!AF34*30</f>
        <v>35.2541436464088</v>
      </c>
      <c r="AG34" s="39">
        <f>'C５级比赛'!AG34*30</f>
        <v>41936.9828686977</v>
      </c>
      <c r="AH34" s="27">
        <f>'C５级比赛'!AH34*30</f>
        <v>104.581004660094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</row>
    <row r="35" spans="1:172">
      <c r="A35" s="22" t="s">
        <v>73</v>
      </c>
      <c r="B35" s="16">
        <f>'C５级比赛'!B35*30</f>
        <v>8889</v>
      </c>
      <c r="C35" s="16">
        <f>'C５级比赛'!C35*30</f>
        <v>6222.3</v>
      </c>
      <c r="D35" s="16">
        <f>'C５级比赛'!D35*30</f>
        <v>4444.5</v>
      </c>
      <c r="E35" s="16">
        <f>'C５级比赛'!E35*30</f>
        <v>3111.15</v>
      </c>
      <c r="F35" s="16">
        <f>'C５级比赛'!F35*30</f>
        <v>1777.8</v>
      </c>
      <c r="G35" s="16">
        <f>'C５级比赛'!G35*30</f>
        <v>1481.5</v>
      </c>
      <c r="H35" s="16">
        <f>'C５级比赛'!H35*30</f>
        <v>1269.85714285714</v>
      </c>
      <c r="I35" s="16">
        <f>'C５级比赛'!I35*30</f>
        <v>1111.125</v>
      </c>
      <c r="J35" s="16">
        <f>'C５级比赛'!J35*30</f>
        <v>987.666666666667</v>
      </c>
      <c r="K35" s="16">
        <f>'C５级比赛'!K35*30</f>
        <v>888.9</v>
      </c>
      <c r="L35" s="16">
        <f>'C５级比赛'!L35*30</f>
        <v>808.090909090909</v>
      </c>
      <c r="M35" s="16">
        <f>'C５级比赛'!M35*30</f>
        <v>740.75</v>
      </c>
      <c r="N35" s="16">
        <f>'C５级比赛'!N35*30</f>
        <v>683.769230769231</v>
      </c>
      <c r="O35" s="16">
        <f>'C５级比赛'!O35*30</f>
        <v>634.928571428571</v>
      </c>
      <c r="P35" s="16">
        <f>'C５级比赛'!P35*30</f>
        <v>592.6</v>
      </c>
      <c r="Q35" s="16">
        <f>'C５级比赛'!Q35*30</f>
        <v>555.5625</v>
      </c>
      <c r="R35" s="16">
        <f>'C５级比赛'!R35*30</f>
        <v>493.833333333333</v>
      </c>
      <c r="S35" s="16">
        <f>'C５级比赛'!S35*30</f>
        <v>444.45</v>
      </c>
      <c r="T35" s="16">
        <f>'C５级比赛'!T35*30</f>
        <v>341.884615384615</v>
      </c>
      <c r="U35" s="16">
        <f>'C５级比赛'!U35*30</f>
        <v>296.3</v>
      </c>
      <c r="V35" s="16">
        <f>'C５级比赛'!V35*30</f>
        <v>216.80487804878</v>
      </c>
      <c r="W35" s="16">
        <f>'C５级比赛'!W35*30</f>
        <v>174.294117647059</v>
      </c>
      <c r="X35" s="16">
        <f>'C５级比赛'!X35*30</f>
        <v>145.72131147541</v>
      </c>
      <c r="Y35" s="16">
        <f>'C５级比赛'!Y35*30</f>
        <v>125.197183098592</v>
      </c>
      <c r="Z35" s="16">
        <f>'C５级比赛'!Z35*30</f>
        <v>109.740740740741</v>
      </c>
      <c r="AA35" s="16">
        <f>'C５级比赛'!AA35*30</f>
        <v>97.6813186813187</v>
      </c>
      <c r="AB35" s="16">
        <f>'C５级比赛'!AB35*30</f>
        <v>88.89</v>
      </c>
      <c r="AC35" s="16">
        <f>'C５级比赛'!AC35*30</f>
        <v>73.4628099173554</v>
      </c>
      <c r="AD35" s="16">
        <f>'C５级比赛'!AD35*30</f>
        <v>63.0425531914894</v>
      </c>
      <c r="AE35" s="16">
        <f>'C５级比赛'!AE35*30</f>
        <v>55.2111801242236</v>
      </c>
      <c r="AF35" s="25">
        <f>'C５级比赛'!AF35*30</f>
        <v>49.1104972375691</v>
      </c>
      <c r="AG35" s="25">
        <f>'C５级比赛'!AG35*30</f>
        <v>44.2238805970149</v>
      </c>
      <c r="AH35" s="39">
        <f>'C５级比赛'!AH35*30</f>
        <v>62842.3599637688</v>
      </c>
      <c r="AI35" s="27">
        <f>'C５级比赛'!AI35*30</f>
        <v>104.562994948035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</row>
    <row r="36" spans="1:172">
      <c r="A36" s="22" t="s">
        <v>74</v>
      </c>
      <c r="B36" s="16">
        <f>'C５级比赛'!B36*30</f>
        <v>11316</v>
      </c>
      <c r="C36" s="16">
        <f>'C５级比赛'!C36*30</f>
        <v>7921.2</v>
      </c>
      <c r="D36" s="16">
        <f>'C５级比赛'!D36*30</f>
        <v>5658</v>
      </c>
      <c r="E36" s="16">
        <f>'C５级比赛'!E36*30</f>
        <v>3960.6</v>
      </c>
      <c r="F36" s="16">
        <f>'C５级比赛'!F36*30</f>
        <v>2263.2</v>
      </c>
      <c r="G36" s="16">
        <f>'C５级比赛'!G36*30</f>
        <v>1886</v>
      </c>
      <c r="H36" s="16">
        <f>'C５级比赛'!H36*30</f>
        <v>1616.57142857143</v>
      </c>
      <c r="I36" s="16">
        <f>'C５级比赛'!I36*30</f>
        <v>1414.5</v>
      </c>
      <c r="J36" s="16">
        <f>'C５级比赛'!J36*30</f>
        <v>1257.33333333333</v>
      </c>
      <c r="K36" s="16">
        <f>'C５级比赛'!K36*30</f>
        <v>1131.6</v>
      </c>
      <c r="L36" s="16">
        <f>'C５级比赛'!L36*30</f>
        <v>1028.72727272727</v>
      </c>
      <c r="M36" s="16">
        <f>'C５级比赛'!M36*30</f>
        <v>943</v>
      </c>
      <c r="N36" s="16">
        <f>'C５级比赛'!N36*30</f>
        <v>870.461538461538</v>
      </c>
      <c r="O36" s="16">
        <f>'C５级比赛'!O36*30</f>
        <v>808.285714285714</v>
      </c>
      <c r="P36" s="16">
        <f>'C５级比赛'!P36*30</f>
        <v>754.4</v>
      </c>
      <c r="Q36" s="16">
        <f>'C５级比赛'!Q36*30</f>
        <v>707.25</v>
      </c>
      <c r="R36" s="16">
        <f>'C５级比赛'!R36*30</f>
        <v>628.666666666667</v>
      </c>
      <c r="S36" s="16">
        <f>'C５级比赛'!S36*30</f>
        <v>565.8</v>
      </c>
      <c r="T36" s="16">
        <f>'C５级比赛'!T36*30</f>
        <v>435.230769230769</v>
      </c>
      <c r="U36" s="16">
        <f>'C５级比赛'!U36*30</f>
        <v>377.2</v>
      </c>
      <c r="V36" s="16">
        <f>'C５级比赛'!V36*30</f>
        <v>276</v>
      </c>
      <c r="W36" s="16">
        <f>'C５级比赛'!W36*30</f>
        <v>221.882352941176</v>
      </c>
      <c r="X36" s="16">
        <f>'C５级比赛'!X36*30</f>
        <v>185.508196721311</v>
      </c>
      <c r="Y36" s="16">
        <f>'C５级比赛'!Y36*30</f>
        <v>159.380281690141</v>
      </c>
      <c r="Z36" s="16">
        <f>'C５级比赛'!Z36*30</f>
        <v>139.703703703704</v>
      </c>
      <c r="AA36" s="16">
        <f>'C５级比赛'!AA36*30</f>
        <v>124.351648351648</v>
      </c>
      <c r="AB36" s="16">
        <f>'C５级比赛'!AB36*30</f>
        <v>113.16</v>
      </c>
      <c r="AC36" s="16">
        <f>'C５级比赛'!AC36*30</f>
        <v>93.5206611570248</v>
      </c>
      <c r="AD36" s="16">
        <f>'C５级比赛'!AD36*30</f>
        <v>80.2553191489362</v>
      </c>
      <c r="AE36" s="16">
        <f>'C５级比赛'!AE36*30</f>
        <v>70.2857142857143</v>
      </c>
      <c r="AF36" s="25">
        <f>'C５级比赛'!AF36*30</f>
        <v>62.5193370165746</v>
      </c>
      <c r="AG36" s="25">
        <f>'C５级比赛'!AG36*30</f>
        <v>56.2985074626866</v>
      </c>
      <c r="AH36" s="25">
        <f>'C５级比赛'!AH36*30</f>
        <v>37.594684385382</v>
      </c>
      <c r="AI36" s="39">
        <f>'C５级比赛'!AI36*30</f>
        <v>83759.9347845848</v>
      </c>
      <c r="AJ36" s="27">
        <f>'C５级比赛'!AJ36*30</f>
        <v>104.569206972016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</row>
    <row r="37" s="2" customFormat="1" spans="1:172">
      <c r="A37" s="19" t="s">
        <v>75</v>
      </c>
      <c r="B37" s="13">
        <f>'C５级比赛'!B37*30</f>
        <v>13680</v>
      </c>
      <c r="C37" s="13">
        <f>'C５级比赛'!C37*30</f>
        <v>9576</v>
      </c>
      <c r="D37" s="13">
        <f>'C５级比赛'!D37*30</f>
        <v>6840</v>
      </c>
      <c r="E37" s="13">
        <f>'C５级比赛'!E37*30</f>
        <v>4788</v>
      </c>
      <c r="F37" s="13">
        <f>'C５级比赛'!F37*30</f>
        <v>2736</v>
      </c>
      <c r="G37" s="13">
        <f>'C５级比赛'!G37*30</f>
        <v>2280</v>
      </c>
      <c r="H37" s="13">
        <f>'C５级比赛'!H37*30</f>
        <v>1954.28571428571</v>
      </c>
      <c r="I37" s="13">
        <f>'C５级比赛'!I37*30</f>
        <v>1710</v>
      </c>
      <c r="J37" s="13">
        <f>'C５级比赛'!J37*30</f>
        <v>1520</v>
      </c>
      <c r="K37" s="13">
        <f>'C５级比赛'!K37*30</f>
        <v>1368</v>
      </c>
      <c r="L37" s="13">
        <f>'C５级比赛'!L37*30</f>
        <v>1243.63636363636</v>
      </c>
      <c r="M37" s="13">
        <f>'C５级比赛'!M37*30</f>
        <v>1140</v>
      </c>
      <c r="N37" s="13">
        <f>'C５级比赛'!N37*30</f>
        <v>1052.30769230769</v>
      </c>
      <c r="O37" s="13">
        <f>'C５级比赛'!O37*30</f>
        <v>977.142857142857</v>
      </c>
      <c r="P37" s="13">
        <f>'C５级比赛'!P37*30</f>
        <v>912</v>
      </c>
      <c r="Q37" s="13">
        <f>'C５级比赛'!Q37*30</f>
        <v>855</v>
      </c>
      <c r="R37" s="13">
        <f>'C５级比赛'!R37*30</f>
        <v>760</v>
      </c>
      <c r="S37" s="13">
        <f>'C５级比赛'!S37*30</f>
        <v>684</v>
      </c>
      <c r="T37" s="13">
        <f>'C５级比赛'!T37*30</f>
        <v>526.153846153846</v>
      </c>
      <c r="U37" s="13">
        <f>'C５级比赛'!U37*30</f>
        <v>456</v>
      </c>
      <c r="V37" s="13">
        <f>'C５级比赛'!V37*30</f>
        <v>333.658536585366</v>
      </c>
      <c r="W37" s="13">
        <f>'C５级比赛'!W37*30</f>
        <v>268.235294117647</v>
      </c>
      <c r="X37" s="13">
        <f>'C５级比赛'!X37*30</f>
        <v>224.262295081967</v>
      </c>
      <c r="Y37" s="13">
        <f>'C５级比赛'!Y37*30</f>
        <v>192.676056338028</v>
      </c>
      <c r="Z37" s="13">
        <f>'C５级比赛'!Z37*30</f>
        <v>168.888888888889</v>
      </c>
      <c r="AA37" s="13">
        <f>'C５级比赛'!AA37*30</f>
        <v>150.32967032967</v>
      </c>
      <c r="AB37" s="13">
        <f>'C５级比赛'!AB37*30</f>
        <v>136.8</v>
      </c>
      <c r="AC37" s="13">
        <f>'C５级比赛'!AC37*30</f>
        <v>113.057851239669</v>
      </c>
      <c r="AD37" s="13">
        <f>'C５级比赛'!AD37*30</f>
        <v>97.0212765957447</v>
      </c>
      <c r="AE37" s="13">
        <f>'C５级比赛'!AE37*30</f>
        <v>84.9689440993789</v>
      </c>
      <c r="AF37" s="29">
        <f>'C５级比赛'!AF37*30</f>
        <v>75.5801104972376</v>
      </c>
      <c r="AG37" s="29">
        <f>'C５级比赛'!AG37*30</f>
        <v>68.0597014925373</v>
      </c>
      <c r="AH37" s="29">
        <f>'C５级比赛'!AH37*30</f>
        <v>45.4485049833887</v>
      </c>
      <c r="AI37" s="29">
        <f>'C５级比赛'!AI37*30</f>
        <v>34.1147132169576</v>
      </c>
      <c r="AJ37" s="39">
        <f>'C５级比赛'!AJ37*30</f>
        <v>104669.504889487</v>
      </c>
      <c r="AK37" s="27">
        <f>'C５级比赛'!AK37*30</f>
        <v>104.564939949537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</row>
    <row r="38" spans="1:172">
      <c r="A38" s="22" t="s">
        <v>76</v>
      </c>
      <c r="B38" s="16">
        <f>'C５级比赛'!B38*30</f>
        <v>15048</v>
      </c>
      <c r="C38" s="16">
        <f>'C５级比赛'!C38*30</f>
        <v>13693.68</v>
      </c>
      <c r="D38" s="16">
        <f>'C５级比赛'!D38*30</f>
        <v>9781.2</v>
      </c>
      <c r="E38" s="16">
        <f>'C５级比赛'!E38*30</f>
        <v>7373.52</v>
      </c>
      <c r="F38" s="16">
        <f>'C５级比赛'!F38*30</f>
        <v>4213.44</v>
      </c>
      <c r="G38" s="16">
        <f>'C５级比赛'!G38*30</f>
        <v>3511.2</v>
      </c>
      <c r="H38" s="16">
        <f>'C５级比赛'!H38*30</f>
        <v>3009.6</v>
      </c>
      <c r="I38" s="16">
        <f>'C５级比赛'!I38*30</f>
        <v>2633.4</v>
      </c>
      <c r="J38" s="16">
        <f>'C５级比赛'!J38*30</f>
        <v>2340.8</v>
      </c>
      <c r="K38" s="16">
        <f>'C５级比赛'!K38*30</f>
        <v>2106.72</v>
      </c>
      <c r="L38" s="16">
        <f>'C５级比赛'!L38*30</f>
        <v>1915.2</v>
      </c>
      <c r="M38" s="16">
        <f>'C５级比赛'!M38*30</f>
        <v>1755.6</v>
      </c>
      <c r="N38" s="16">
        <f>'C５级比赛'!N38*30</f>
        <v>1620.55384615385</v>
      </c>
      <c r="O38" s="16">
        <f>'C５级比赛'!O38*30</f>
        <v>1504.8</v>
      </c>
      <c r="P38" s="16">
        <f>'C５级比赛'!P38*30</f>
        <v>1404.48</v>
      </c>
      <c r="Q38" s="16">
        <f>'C５级比赛'!Q38*30</f>
        <v>1316.7</v>
      </c>
      <c r="R38" s="16">
        <f>'C５级比赛'!R38*30</f>
        <v>1170.4</v>
      </c>
      <c r="S38" s="16">
        <f>'C５级比赛'!S38*30</f>
        <v>978.12</v>
      </c>
      <c r="T38" s="16">
        <f>'C５级比赛'!T38*30</f>
        <v>752.4</v>
      </c>
      <c r="U38" s="16">
        <f>'C５级比赛'!U38*30</f>
        <v>652.08</v>
      </c>
      <c r="V38" s="16">
        <f>'C５级比赛'!V38*30</f>
        <v>477.131707317073</v>
      </c>
      <c r="W38" s="16">
        <f>'C５级比赛'!W38*30</f>
        <v>383.576470588235</v>
      </c>
      <c r="X38" s="16">
        <f>'C５级比赛'!X38*30</f>
        <v>320.695081967213</v>
      </c>
      <c r="Y38" s="16">
        <f>'C５级比赛'!Y38*30</f>
        <v>275.52676056338</v>
      </c>
      <c r="Z38" s="16">
        <f>'C５级比赛'!Z38*30</f>
        <v>241.511111111111</v>
      </c>
      <c r="AA38" s="16">
        <f>'C５级比赛'!AA38*30</f>
        <v>214.971428571429</v>
      </c>
      <c r="AB38" s="16">
        <f>'C５级比赛'!AB38*30</f>
        <v>195.624</v>
      </c>
      <c r="AC38" s="16">
        <f>'C５级比赛'!AC38*30</f>
        <v>161.672727272727</v>
      </c>
      <c r="AD38" s="16">
        <f>'C５级比赛'!AD38*30</f>
        <v>138.740425531915</v>
      </c>
      <c r="AE38" s="16">
        <f>'C５级比赛'!AE38*30</f>
        <v>121.505590062112</v>
      </c>
      <c r="AF38" s="25">
        <f>'C５级比赛'!AF38*30</f>
        <v>108.07955801105</v>
      </c>
      <c r="AG38" s="25">
        <f>'C５级比赛'!AG38*30</f>
        <v>97.3253731343284</v>
      </c>
      <c r="AH38" s="25">
        <f>'C５级比赛'!AH38*30</f>
        <v>64.9913621262458</v>
      </c>
      <c r="AI38" s="25">
        <f>'C５级比赛'!AI38*30</f>
        <v>48.7840399002494</v>
      </c>
      <c r="AJ38" s="25">
        <f>'C５级比赛'!AJ38*30</f>
        <v>39.0467065868264</v>
      </c>
      <c r="AK38" s="39">
        <f>'C５级比赛'!AK38*30</f>
        <v>157748.519627683</v>
      </c>
      <c r="AL38" s="27">
        <f>'C５级比赛'!AL38*30</f>
        <v>105.095616007784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</row>
    <row r="39" spans="1:172">
      <c r="A39" s="22" t="s">
        <v>77</v>
      </c>
      <c r="B39" s="16">
        <f>'C５级比赛'!B39*30</f>
        <v>16552.8</v>
      </c>
      <c r="C39" s="16">
        <f>'C５级比赛'!C39*30</f>
        <v>15063.048</v>
      </c>
      <c r="D39" s="16">
        <f>'C５级比赛'!D39*30</f>
        <v>14069.88</v>
      </c>
      <c r="E39" s="16">
        <f>'C５级比赛'!E39*30</f>
        <v>9848.916</v>
      </c>
      <c r="F39" s="16">
        <f>'C５级比赛'!F39*30</f>
        <v>5627.952</v>
      </c>
      <c r="G39" s="16">
        <f>'C５级比赛'!G39*30</f>
        <v>4689.96</v>
      </c>
      <c r="H39" s="16">
        <f>'C５级比赛'!H39*30</f>
        <v>4019.96571428571</v>
      </c>
      <c r="I39" s="16">
        <f>'C５级比赛'!I39*30</f>
        <v>3517.47</v>
      </c>
      <c r="J39" s="16">
        <f>'C５级比赛'!J39*30</f>
        <v>3126.64</v>
      </c>
      <c r="K39" s="16">
        <f>'C５级比赛'!K39*30</f>
        <v>2813.976</v>
      </c>
      <c r="L39" s="16">
        <f>'C５级比赛'!L39*30</f>
        <v>2558.16</v>
      </c>
      <c r="M39" s="16">
        <f>'C５级比赛'!M39*30</f>
        <v>2344.98</v>
      </c>
      <c r="N39" s="16">
        <f>'C５级比赛'!N39*30</f>
        <v>2164.59692307692</v>
      </c>
      <c r="O39" s="16">
        <f>'C５级比赛'!O39*30</f>
        <v>2009.98285714286</v>
      </c>
      <c r="P39" s="16">
        <f>'C５级比赛'!P39*30</f>
        <v>1875.984</v>
      </c>
      <c r="Q39" s="16">
        <f>'C５级比赛'!Q39*30</f>
        <v>1758.735</v>
      </c>
      <c r="R39" s="16">
        <f>'C５级比赛'!R39*30</f>
        <v>1563.32</v>
      </c>
      <c r="S39" s="16">
        <f>'C５级比赛'!S39*30</f>
        <v>1406.988</v>
      </c>
      <c r="T39" s="16">
        <f>'C５级比赛'!T39*30</f>
        <v>1082.29846153846</v>
      </c>
      <c r="U39" s="16">
        <f>'C５级比赛'!U39*30</f>
        <v>937.992</v>
      </c>
      <c r="V39" s="16">
        <f>'C５级比赛'!V39*30</f>
        <v>605.590243902439</v>
      </c>
      <c r="W39" s="16">
        <f>'C５级比赛'!W39*30</f>
        <v>486.847058823529</v>
      </c>
      <c r="X39" s="16">
        <f>'C５级比赛'!X39*30</f>
        <v>407.036065573771</v>
      </c>
      <c r="Y39" s="16">
        <f>'C５级比赛'!Y39*30</f>
        <v>349.707042253521</v>
      </c>
      <c r="Z39" s="16">
        <f>'C５级比赛'!Z39*30</f>
        <v>306.533333333333</v>
      </c>
      <c r="AA39" s="16">
        <f>'C５级比赛'!AA39*30</f>
        <v>272.848351648352</v>
      </c>
      <c r="AB39" s="16">
        <f>'C５级比赛'!AB39*30</f>
        <v>248.292</v>
      </c>
      <c r="AC39" s="16">
        <f>'C５级比赛'!AC39*30</f>
        <v>205.2</v>
      </c>
      <c r="AD39" s="16">
        <f>'C５级比赛'!AD39*30</f>
        <v>176.093617021277</v>
      </c>
      <c r="AE39" s="16">
        <f>'C５级比赛'!AE39*30</f>
        <v>154.218633540373</v>
      </c>
      <c r="AF39" s="25">
        <f>'C５级比赛'!AF39*30</f>
        <v>137.177900552486</v>
      </c>
      <c r="AG39" s="25">
        <f>'C５级比赛'!AG39*30</f>
        <v>123.528358208955</v>
      </c>
      <c r="AH39" s="25">
        <f>'C５级比赛'!AH39*30</f>
        <v>82.4890365448505</v>
      </c>
      <c r="AI39" s="25">
        <f>'C５级比赛'!AI39*30</f>
        <v>61.9182044887781</v>
      </c>
      <c r="AJ39" s="25">
        <f>'C５级比赛'!AJ39*30</f>
        <v>49.5592814371258</v>
      </c>
      <c r="AK39" s="25">
        <f>'C５级比赛'!AK39*30</f>
        <v>33.061517976032</v>
      </c>
      <c r="AL39" s="39">
        <f>'C５级比赛'!AL39*30</f>
        <v>210472.117557378</v>
      </c>
      <c r="AM39" s="27">
        <f>'C５级比赛'!AM39*30</f>
        <v>105.183467045166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</row>
    <row r="40" spans="1:172">
      <c r="A40" s="22" t="s">
        <v>78</v>
      </c>
      <c r="B40" s="16">
        <f>'C５级比赛'!B40*30</f>
        <v>19035.72</v>
      </c>
      <c r="C40" s="16">
        <f>'C５级比赛'!C40*30</f>
        <v>17322.5052</v>
      </c>
      <c r="D40" s="16">
        <f>'C５级比赛'!D40*30</f>
        <v>15704.469</v>
      </c>
      <c r="E40" s="16">
        <f>'C５级比赛'!E40*30</f>
        <v>14657.5044</v>
      </c>
      <c r="F40" s="16">
        <f>'C５级比赛'!F40*30</f>
        <v>8375.7168</v>
      </c>
      <c r="G40" s="16">
        <f>'C５级比赛'!G40*30</f>
        <v>6979.764</v>
      </c>
      <c r="H40" s="16">
        <f>'C５级比赛'!H40*30</f>
        <v>5982.65485714286</v>
      </c>
      <c r="I40" s="16">
        <f>'C５级比赛'!I40*30</f>
        <v>5234.823</v>
      </c>
      <c r="J40" s="16">
        <f>'C５级比赛'!J40*30</f>
        <v>4653.176</v>
      </c>
      <c r="K40" s="16">
        <f>'C５级比赛'!K40*30</f>
        <v>4187.8584</v>
      </c>
      <c r="L40" s="16">
        <f>'C５级比赛'!L40*30</f>
        <v>3807.144</v>
      </c>
      <c r="M40" s="16">
        <f>'C５级比赛'!M40*30</f>
        <v>3489.882</v>
      </c>
      <c r="N40" s="16">
        <f>'C５级比赛'!N40*30</f>
        <v>3221.42953846154</v>
      </c>
      <c r="O40" s="16">
        <f>'C５级比赛'!O40*30</f>
        <v>2991.32742857143</v>
      </c>
      <c r="P40" s="16">
        <f>'C５级比赛'!P40*30</f>
        <v>2791.9056</v>
      </c>
      <c r="Q40" s="16">
        <f>'C５级比赛'!Q40*30</f>
        <v>2617.4115</v>
      </c>
      <c r="R40" s="16">
        <f>'C５级比赛'!R40*30</f>
        <v>2326.588</v>
      </c>
      <c r="S40" s="16">
        <f>'C５级比赛'!S40*30</f>
        <v>2093.9292</v>
      </c>
      <c r="T40" s="16">
        <f>'C５级比赛'!T40*30</f>
        <v>1610.71476923077</v>
      </c>
      <c r="U40" s="16">
        <f>'C５级比赛'!U40*30</f>
        <v>1395.9528</v>
      </c>
      <c r="V40" s="16">
        <f>'C５级比赛'!V40*30</f>
        <v>1021.42887804878</v>
      </c>
      <c r="W40" s="16">
        <f>'C５级比赛'!W40*30</f>
        <v>821.148705882353</v>
      </c>
      <c r="X40" s="16">
        <f>'C５级比赛'!X40*30</f>
        <v>686.534163934426</v>
      </c>
      <c r="Y40" s="16">
        <f>'C５级比赛'!Y40*30</f>
        <v>589.839211267606</v>
      </c>
      <c r="Z40" s="16">
        <f>'C５级比赛'!Z40*30</f>
        <v>517.019555555556</v>
      </c>
      <c r="AA40" s="16">
        <f>'C５级比赛'!AA40*30</f>
        <v>460.20421978022</v>
      </c>
      <c r="AB40" s="16">
        <f>'C５级比赛'!AB40*30</f>
        <v>418.78584</v>
      </c>
      <c r="AC40" s="16">
        <f>'C５级比赛'!AC40*30</f>
        <v>346.104</v>
      </c>
      <c r="AD40" s="16">
        <f>'C５级比赛'!AD40*30</f>
        <v>270.010212765957</v>
      </c>
      <c r="AE40" s="16">
        <f>'C５级比赛'!AE40*30</f>
        <v>236.468571428571</v>
      </c>
      <c r="AF40" s="25">
        <f>'C５级比赛'!AF40*30</f>
        <v>210.339447513812</v>
      </c>
      <c r="AG40" s="25">
        <f>'C５级比赛'!AG40*30</f>
        <v>189.410149253731</v>
      </c>
      <c r="AH40" s="25">
        <f>'C５级比赛'!AH40*30</f>
        <v>126.483189368771</v>
      </c>
      <c r="AI40" s="25">
        <f>'C５级比赛'!AI40*30</f>
        <v>94.941246882793</v>
      </c>
      <c r="AJ40" s="25">
        <f>'C５级比赛'!AJ40*30</f>
        <v>60.7927185628743</v>
      </c>
      <c r="AK40" s="25">
        <f>'C５级比赛'!AK40*30</f>
        <v>40.5554620505992</v>
      </c>
      <c r="AL40" s="25">
        <f>'C５级比赛'!AL40*30</f>
        <v>30.4267252747253</v>
      </c>
      <c r="AM40" s="39">
        <f>'C５级比赛'!AM40*30</f>
        <v>315362.990190446</v>
      </c>
      <c r="AN40" s="27">
        <f>'C５级比赛'!AN40*30</f>
        <v>105.085968074124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</row>
    <row r="41" spans="1:172">
      <c r="A41" s="22" t="s">
        <v>79</v>
      </c>
      <c r="B41" s="16">
        <f>'C５级比赛'!B41*30</f>
        <v>21891.078</v>
      </c>
      <c r="C41" s="16">
        <f>'C５级比赛'!C41*30</f>
        <v>19920.88098</v>
      </c>
      <c r="D41" s="16">
        <f>'C５级比赛'!D41*30</f>
        <v>18060.13935</v>
      </c>
      <c r="E41" s="16">
        <f>'C５级比赛'!E41*30</f>
        <v>16856.13006</v>
      </c>
      <c r="F41" s="16">
        <f>'C５级比赛'!F41*30</f>
        <v>11383.36056</v>
      </c>
      <c r="G41" s="16">
        <f>'C５级比赛'!G41*30</f>
        <v>9486.1338</v>
      </c>
      <c r="H41" s="16">
        <f>'C５级比赛'!H41*30</f>
        <v>8130.97182857143</v>
      </c>
      <c r="I41" s="16">
        <f>'C５级比赛'!I41*30</f>
        <v>7114.60035</v>
      </c>
      <c r="J41" s="16">
        <f>'C５级比赛'!J41*30</f>
        <v>6324.0892</v>
      </c>
      <c r="K41" s="16">
        <f>'C５级比赛'!K41*30</f>
        <v>5691.68028</v>
      </c>
      <c r="L41" s="16">
        <f>'C５级比赛'!L41*30</f>
        <v>5174.2548</v>
      </c>
      <c r="M41" s="16">
        <f>'C５级比赛'!M41*30</f>
        <v>4743.0669</v>
      </c>
      <c r="N41" s="16">
        <f>'C５级比赛'!N41*30</f>
        <v>4378.2156</v>
      </c>
      <c r="O41" s="16">
        <f>'C５级比赛'!O41*30</f>
        <v>4065.48591428572</v>
      </c>
      <c r="P41" s="16">
        <f>'C５级比赛'!P41*30</f>
        <v>3794.45352</v>
      </c>
      <c r="Q41" s="16">
        <f>'C５级比赛'!Q41*30</f>
        <v>3557.300175</v>
      </c>
      <c r="R41" s="16">
        <f>'C５级比赛'!R41*30</f>
        <v>3162.0446</v>
      </c>
      <c r="S41" s="16">
        <f>'C５级比赛'!S41*30</f>
        <v>2845.84014</v>
      </c>
      <c r="T41" s="16">
        <f>'C５级比赛'!T41*30</f>
        <v>2189.1078</v>
      </c>
      <c r="U41" s="16">
        <f>'C５级比赛'!U41*30</f>
        <v>1897.22676</v>
      </c>
      <c r="V41" s="16">
        <f>'C５级比赛'!V41*30</f>
        <v>1388.21470243902</v>
      </c>
      <c r="W41" s="16">
        <f>'C５级比赛'!W41*30</f>
        <v>1116.01574117647</v>
      </c>
      <c r="X41" s="16">
        <f>'C５级比赛'!X41*30</f>
        <v>933.062340983607</v>
      </c>
      <c r="Y41" s="16">
        <f>'C５级比赛'!Y41*30</f>
        <v>801.645109859155</v>
      </c>
      <c r="Z41" s="16">
        <f>'C５级比赛'!Z41*30</f>
        <v>702.676577777778</v>
      </c>
      <c r="AA41" s="16">
        <f>'C５级比赛'!AA41*30</f>
        <v>625.459371428571</v>
      </c>
      <c r="AB41" s="16">
        <f>'C５级比赛'!AB41*30</f>
        <v>569.168028</v>
      </c>
      <c r="AC41" s="16">
        <f>'C５级比赛'!AC41*30</f>
        <v>398.0196</v>
      </c>
      <c r="AD41" s="16">
        <f>'C５级比赛'!AD41*30</f>
        <v>341.562919148936</v>
      </c>
      <c r="AE41" s="16">
        <f>'C５级比赛'!AE41*30</f>
        <v>299.132742857143</v>
      </c>
      <c r="AF41" s="25">
        <f>'C５级比赛'!AF41*30</f>
        <v>266.079401104972</v>
      </c>
      <c r="AG41" s="25">
        <f>'C５级比赛'!AG41*30</f>
        <v>239.60383880597</v>
      </c>
      <c r="AH41" s="25">
        <f>'C５级比赛'!AH41*30</f>
        <v>145.455667774086</v>
      </c>
      <c r="AI41" s="25">
        <f>'C５级比赛'!AI41*30</f>
        <v>109.182433915212</v>
      </c>
      <c r="AJ41" s="25">
        <f>'C５级比赛'!AJ41*30</f>
        <v>87.3895329341318</v>
      </c>
      <c r="AK41" s="25">
        <f>'C５级比赛'!AK41*30</f>
        <v>58.2984766977364</v>
      </c>
      <c r="AL41" s="25">
        <f>'C５级比赛'!AL41*30</f>
        <v>43.7384175824176</v>
      </c>
      <c r="AM41" s="25">
        <f>'C５级比赛'!AM41*30</f>
        <v>23.3349265822785</v>
      </c>
      <c r="AN41" s="39">
        <f>'C５级比赛'!AN41*30</f>
        <v>420295.143391566</v>
      </c>
      <c r="AO41" s="27">
        <f>'C５级比赛'!AO41*30</f>
        <v>105.0475239669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</row>
    <row r="42" spans="1:172">
      <c r="A42" s="22" t="s">
        <v>80</v>
      </c>
      <c r="B42" s="16">
        <f>'C５级比赛'!B42*30</f>
        <v>25174.7397</v>
      </c>
      <c r="C42" s="16">
        <f>'C５级比赛'!C42*30</f>
        <v>22909.013127</v>
      </c>
      <c r="D42" s="16">
        <f>'C５级比赛'!D42*30</f>
        <v>20769.1602525</v>
      </c>
      <c r="E42" s="16">
        <f>'C５级比赛'!E42*30</f>
        <v>19384.549569</v>
      </c>
      <c r="F42" s="16">
        <f>'C５级比赛'!F42*30</f>
        <v>16615.328202</v>
      </c>
      <c r="G42" s="16">
        <f>'C５级比赛'!G42*30</f>
        <v>13846.106835</v>
      </c>
      <c r="H42" s="16">
        <f>'C５级比赛'!H42*30</f>
        <v>11868.0915728571</v>
      </c>
      <c r="I42" s="16">
        <f>'C５级比赛'!I42*30</f>
        <v>10384.58012625</v>
      </c>
      <c r="J42" s="16">
        <f>'C５级比赛'!J42*30</f>
        <v>9230.73789</v>
      </c>
      <c r="K42" s="16">
        <f>'C５级比赛'!K42*30</f>
        <v>8307.664101</v>
      </c>
      <c r="L42" s="16">
        <f>'C５级比赛'!L42*30</f>
        <v>7552.42191</v>
      </c>
      <c r="M42" s="16">
        <f>'C５级比赛'!M42*30</f>
        <v>6923.0534175</v>
      </c>
      <c r="N42" s="16">
        <f>'C５级比赛'!N42*30</f>
        <v>6390.51084692308</v>
      </c>
      <c r="O42" s="16">
        <f>'C５级比赛'!O42*30</f>
        <v>5934.04578642857</v>
      </c>
      <c r="P42" s="16">
        <f>'C５级比赛'!P42*30</f>
        <v>5538.442734</v>
      </c>
      <c r="Q42" s="16">
        <f>'C５级比赛'!Q42*30</f>
        <v>5192.290063125</v>
      </c>
      <c r="R42" s="16">
        <f>'C５级比赛'!R42*30</f>
        <v>4615.368945</v>
      </c>
      <c r="S42" s="16">
        <f>'C５级比赛'!S42*30</f>
        <v>4153.8320505</v>
      </c>
      <c r="T42" s="16">
        <f>'C５级比赛'!T42*30</f>
        <v>3195.25542346154</v>
      </c>
      <c r="U42" s="16">
        <f>'C５级比赛'!U42*30</f>
        <v>2769.221367</v>
      </c>
      <c r="V42" s="16">
        <f>'C５级比赛'!V42*30</f>
        <v>2026.25953682927</v>
      </c>
      <c r="W42" s="16">
        <f>'C５级比赛'!W42*30</f>
        <v>1628.95374529412</v>
      </c>
      <c r="X42" s="16">
        <f>'C５级比赛'!X42*30</f>
        <v>1361.91214770492</v>
      </c>
      <c r="Y42" s="16">
        <f>'C５级比赛'!Y42*30</f>
        <v>1170.09353535211</v>
      </c>
      <c r="Z42" s="16">
        <f>'C５级比赛'!Z42*30</f>
        <v>1025.63754333333</v>
      </c>
      <c r="AA42" s="16">
        <f>'C５级比赛'!AA42*30</f>
        <v>912.930120989011</v>
      </c>
      <c r="AB42" s="16">
        <f>'C５级比赛'!AB42*30</f>
        <v>830.7664101</v>
      </c>
      <c r="AC42" s="16">
        <f>'C５级比赛'!AC42*30</f>
        <v>686.58381</v>
      </c>
      <c r="AD42" s="16">
        <f>'C５级比赛'!AD42*30</f>
        <v>589.196035531915</v>
      </c>
      <c r="AE42" s="16">
        <f>'C５级比赛'!AE42*30</f>
        <v>516.003981428571</v>
      </c>
      <c r="AF42" s="25">
        <f>'C５级比赛'!AF42*30</f>
        <v>458.986966906077</v>
      </c>
      <c r="AG42" s="25">
        <f>'C５级比赛'!AG42*30</f>
        <v>413.316621940298</v>
      </c>
      <c r="AH42" s="25">
        <f>'C５级比赛'!AH42*30</f>
        <v>250.911026910299</v>
      </c>
      <c r="AI42" s="25">
        <f>'C５级比赛'!AI42*30</f>
        <v>188.339698503741</v>
      </c>
      <c r="AJ42" s="25">
        <f>'C５级比赛'!AJ42*30</f>
        <v>150.746944311377</v>
      </c>
      <c r="AK42" s="25">
        <f>'C５级比赛'!AK42*30</f>
        <v>83.804060252996</v>
      </c>
      <c r="AL42" s="25">
        <f>'C５级比赛'!AL42*30</f>
        <v>50.2991802197802</v>
      </c>
      <c r="AM42" s="25">
        <f>'C５级比赛'!AM42*30</f>
        <v>33.5439569620253</v>
      </c>
      <c r="AN42" s="25">
        <f>'C５级比赛'!AN42*30</f>
        <v>22.6459427586207</v>
      </c>
      <c r="AO42" s="39">
        <f>'C５级比赛'!AO42*30</f>
        <v>630847.391671926</v>
      </c>
      <c r="AP42" s="27">
        <f>'C５级比赛'!AP42*30</f>
        <v>105.123711326767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</row>
    <row r="43" spans="1:172">
      <c r="A43" s="22" t="s">
        <v>81</v>
      </c>
      <c r="B43" s="16">
        <f>'C５级比赛'!B43*30</f>
        <v>28950.950655</v>
      </c>
      <c r="C43" s="16">
        <f>'C５级比赛'!C43*30</f>
        <v>26345.36509605</v>
      </c>
      <c r="D43" s="16">
        <f>'C５级比赛'!D43*30</f>
        <v>23884.534290375</v>
      </c>
      <c r="E43" s="16">
        <f>'C５级比赛'!E43*30</f>
        <v>22292.23200435</v>
      </c>
      <c r="F43" s="16">
        <f>'C５级比赛'!F43*30</f>
        <v>20844.6844716</v>
      </c>
      <c r="G43" s="16">
        <f>'C５级比赛'!G43*30</f>
        <v>17370.570393</v>
      </c>
      <c r="H43" s="16">
        <f>'C５级比赛'!H43*30</f>
        <v>14889.0603368571</v>
      </c>
      <c r="I43" s="16">
        <f>'C５级比赛'!I43*30</f>
        <v>13027.92779475</v>
      </c>
      <c r="J43" s="16">
        <f>'C５级比赛'!J43*30</f>
        <v>11580.380262</v>
      </c>
      <c r="K43" s="16">
        <f>'C５级比赛'!K43*30</f>
        <v>10422.3422358</v>
      </c>
      <c r="L43" s="16">
        <f>'C５级比赛'!L43*30</f>
        <v>9474.856578</v>
      </c>
      <c r="M43" s="16">
        <f>'C５级比赛'!M43*30</f>
        <v>8685.2851965</v>
      </c>
      <c r="N43" s="16">
        <f>'C５级比赛'!N43*30</f>
        <v>8017.18633523077</v>
      </c>
      <c r="O43" s="16">
        <f>'C５级比赛'!O43*30</f>
        <v>7444.53016842857</v>
      </c>
      <c r="P43" s="16">
        <f>'C５级比赛'!P43*30</f>
        <v>6948.2281572</v>
      </c>
      <c r="Q43" s="16">
        <f>'C５级比赛'!Q43*30</f>
        <v>6513.963897375</v>
      </c>
      <c r="R43" s="16">
        <f>'C５级比赛'!R43*30</f>
        <v>5790.190131</v>
      </c>
      <c r="S43" s="16">
        <f>'C５级比赛'!S43*30</f>
        <v>5211.1711179</v>
      </c>
      <c r="T43" s="16">
        <f>'C５级比赛'!T43*30</f>
        <v>4008.59316761539</v>
      </c>
      <c r="U43" s="16">
        <f>'C５级比赛'!U43*30</f>
        <v>3474.1140786</v>
      </c>
      <c r="V43" s="16">
        <f>'C５级比赛'!V43*30</f>
        <v>2542.03469165854</v>
      </c>
      <c r="W43" s="16">
        <f>'C５级比赛'!W43*30</f>
        <v>2043.59651682353</v>
      </c>
      <c r="X43" s="16">
        <f>'C５级比赛'!X43*30</f>
        <v>1708.58069439344</v>
      </c>
      <c r="Y43" s="16">
        <f>'C５级比赛'!Y43*30</f>
        <v>1467.93552616901</v>
      </c>
      <c r="Z43" s="16">
        <f>'C５级比赛'!Z43*30</f>
        <v>1286.708918</v>
      </c>
      <c r="AA43" s="16">
        <f>'C５级比赛'!AA43*30</f>
        <v>1145.3123336044</v>
      </c>
      <c r="AB43" s="16">
        <f>'C５级比赛'!AB43*30</f>
        <v>1042.23422358</v>
      </c>
      <c r="AC43" s="16">
        <f>'C５级比赛'!AC43*30</f>
        <v>861.350598</v>
      </c>
      <c r="AD43" s="16">
        <f>'C５级比赛'!AD43*30</f>
        <v>718.640619095745</v>
      </c>
      <c r="AE43" s="16">
        <f>'C５级比赛'!AE43*30</f>
        <v>629.3684925</v>
      </c>
      <c r="AF43" s="25">
        <f>'C５级比赛'!AF43*30</f>
        <v>559.825012665746</v>
      </c>
      <c r="AG43" s="25">
        <f>'C５级比赛'!AG43*30</f>
        <v>504.12103130597</v>
      </c>
      <c r="AH43" s="25">
        <f>'C５级比赛'!AH43*30</f>
        <v>317.402449041528</v>
      </c>
      <c r="AI43" s="25">
        <f>'C５级比赛'!AI43*30</f>
        <v>238.249718607232</v>
      </c>
      <c r="AJ43" s="25">
        <f>'C５级比赛'!AJ43*30</f>
        <v>179.137618823353</v>
      </c>
      <c r="AK43" s="25">
        <f>'C５级比赛'!AK43*30</f>
        <v>115.649603149134</v>
      </c>
      <c r="AL43" s="25">
        <f>'C５级比赛'!AL43*30</f>
        <v>86.7660858791209</v>
      </c>
      <c r="AM43" s="25">
        <f>'C５级比赛'!AM43*30</f>
        <v>57.8633257594937</v>
      </c>
      <c r="AN43" s="25">
        <f>'C５级比赛'!AN43*30</f>
        <v>43.4047236206897</v>
      </c>
      <c r="AO43" s="25">
        <f>'C５级比赛'!AO43*30</f>
        <v>27.0118833168944</v>
      </c>
      <c r="AP43" s="39">
        <f>'C５级比赛'!AP43*30</f>
        <v>841992.098245274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</row>
    <row r="44" s="2" customFormat="1" ht="21.6" spans="1:172">
      <c r="A44" s="19" t="s">
        <v>82</v>
      </c>
      <c r="B44" s="13">
        <f>'C５级比赛'!B44*30</f>
        <v>33293.59325325</v>
      </c>
      <c r="C44" s="13">
        <f>'C５级比赛'!C44*30</f>
        <v>30297.1698604575</v>
      </c>
      <c r="D44" s="13">
        <f>'C５级比赛'!D44*30</f>
        <v>27467.2144339312</v>
      </c>
      <c r="E44" s="13">
        <f>'C５级比赛'!E44*30</f>
        <v>25636.0668050025</v>
      </c>
      <c r="F44" s="13">
        <f>'C５级比赛'!F44*30</f>
        <v>23971.38714234</v>
      </c>
      <c r="G44" s="13">
        <f>'C５级比赛'!G44*30</f>
        <v>19976.15595195</v>
      </c>
      <c r="H44" s="13">
        <f>'C５级比赛'!H44*30</f>
        <v>17122.4193873857</v>
      </c>
      <c r="I44" s="13">
        <f>'C５级比赛'!I44*30</f>
        <v>14982.1169639625</v>
      </c>
      <c r="J44" s="13">
        <f>'C５级比赛'!J44*30</f>
        <v>13317.4373013</v>
      </c>
      <c r="K44" s="13">
        <f>'C５级比赛'!K44*30</f>
        <v>11985.69357117</v>
      </c>
      <c r="L44" s="13">
        <f>'C５级比赛'!L44*30</f>
        <v>10896.0850647</v>
      </c>
      <c r="M44" s="13">
        <f>'C５级比赛'!M44*30</f>
        <v>9988.077975975</v>
      </c>
      <c r="N44" s="13">
        <f>'C５级比赛'!N44*30</f>
        <v>9219.76428551538</v>
      </c>
      <c r="O44" s="13">
        <f>'C５级比赛'!O44*30</f>
        <v>8561.20969369286</v>
      </c>
      <c r="P44" s="13">
        <f>'C５级比赛'!P44*30</f>
        <v>7990.46238078</v>
      </c>
      <c r="Q44" s="13">
        <f>'C５级比赛'!Q44*30</f>
        <v>7491.05848198125</v>
      </c>
      <c r="R44" s="13">
        <f>'C５级比赛'!R44*30</f>
        <v>6658.71865065</v>
      </c>
      <c r="S44" s="13">
        <f>'C５级比赛'!S44*30</f>
        <v>5992.846785585</v>
      </c>
      <c r="T44" s="13">
        <f>'C５级比赛'!T44*30</f>
        <v>4609.88214275769</v>
      </c>
      <c r="U44" s="13">
        <f>'C５级比赛'!U44*30</f>
        <v>3995.23119039</v>
      </c>
      <c r="V44" s="13">
        <f>'C５级比赛'!V44*30</f>
        <v>2923.33989540732</v>
      </c>
      <c r="W44" s="13">
        <f>'C５级比赛'!W44*30</f>
        <v>2350.13599434706</v>
      </c>
      <c r="X44" s="13">
        <f>'C５级比赛'!X44*30</f>
        <v>1964.86779855246</v>
      </c>
      <c r="Y44" s="13">
        <f>'C５级比赛'!Y44*30</f>
        <v>1688.12585509437</v>
      </c>
      <c r="Z44" s="13">
        <f>'C５级比赛'!Z44*30</f>
        <v>1479.7152557</v>
      </c>
      <c r="AA44" s="13">
        <f>'C５级比赛'!AA44*30</f>
        <v>1317.10918364506</v>
      </c>
      <c r="AB44" s="13">
        <f>'C５级比赛'!AB44*30</f>
        <v>1198.569357117</v>
      </c>
      <c r="AC44" s="13">
        <f>'C５级比赛'!AC44*30</f>
        <v>990.5531877</v>
      </c>
      <c r="AD44" s="13">
        <f>'C５级比赛'!AD44*30</f>
        <v>850.049189444681</v>
      </c>
      <c r="AE44" s="13">
        <f>'C５级比赛'!AE44*30</f>
        <v>744.453016842857</v>
      </c>
      <c r="AF44" s="29">
        <f>'C５级比赛'!AF44*30</f>
        <v>662.193014981768</v>
      </c>
      <c r="AG44" s="29">
        <f>'C５级比赛'!AG44*30</f>
        <v>596.303162744776</v>
      </c>
      <c r="AH44" s="29">
        <f>'C５级比赛'!AH44*30</f>
        <v>398.195799706645</v>
      </c>
      <c r="AI44" s="29">
        <f>'C５级比赛'!AI44*30</f>
        <v>298.895101525436</v>
      </c>
      <c r="AJ44" s="29">
        <f>'C５级比赛'!AJ44*30</f>
        <v>239.235400622156</v>
      </c>
      <c r="AK44" s="29">
        <f>'C５级比赛'!AK44*30</f>
        <v>159.596452345806</v>
      </c>
      <c r="AL44" s="29">
        <f>'C５级比赛'!AL44*30</f>
        <v>116.411165221154</v>
      </c>
      <c r="AM44" s="29">
        <f>'C５级比赛'!AM44*30</f>
        <v>77.6332953939873</v>
      </c>
      <c r="AN44" s="29">
        <f>'C５级比赛'!AN44*30</f>
        <v>58.2346708577586</v>
      </c>
      <c r="AO44" s="29">
        <f>'C５级比赛'!AO44*30</f>
        <v>38.8295822680357</v>
      </c>
      <c r="AP44" s="29">
        <f>'C５级比赛'!AP44*30</f>
        <v>29.1246129433579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</row>
    <row r="45" spans="1:172">
      <c r="A45" s="22" t="s">
        <v>83</v>
      </c>
      <c r="B45" s="16">
        <f>'C５级比赛'!B45*30</f>
        <v>33293.59325325</v>
      </c>
      <c r="C45" s="16">
        <f>'C５级比赛'!C45*30</f>
        <v>30297.1698604575</v>
      </c>
      <c r="D45" s="16">
        <f>'C５级比赛'!D45*30</f>
        <v>27467.2144339312</v>
      </c>
      <c r="E45" s="16">
        <f>'C５级比赛'!E45*30</f>
        <v>25636.0668050025</v>
      </c>
      <c r="F45" s="16">
        <f>'C５级比赛'!F45*30</f>
        <v>23971.38714234</v>
      </c>
      <c r="G45" s="16">
        <f>'C５级比赛'!G45*30</f>
        <v>19976.15595195</v>
      </c>
      <c r="H45" s="16">
        <f>'C５级比赛'!H45*30</f>
        <v>17122.4193873857</v>
      </c>
      <c r="I45" s="16">
        <f>'C５级比赛'!I45*30</f>
        <v>14982.1169639625</v>
      </c>
      <c r="J45" s="16">
        <f>'C５级比赛'!J45*30</f>
        <v>13317.4373013</v>
      </c>
      <c r="K45" s="16">
        <f>'C５级比赛'!K45*30</f>
        <v>11985.69357117</v>
      </c>
      <c r="L45" s="16">
        <f>'C５级比赛'!L45*30</f>
        <v>10896.0850647</v>
      </c>
      <c r="M45" s="16">
        <f>'C５级比赛'!M45*30</f>
        <v>9988.077975975</v>
      </c>
      <c r="N45" s="16">
        <f>'C５级比赛'!N45*30</f>
        <v>9219.76428551538</v>
      </c>
      <c r="O45" s="16">
        <f>'C５级比赛'!O45*30</f>
        <v>8561.20969369286</v>
      </c>
      <c r="P45" s="16">
        <f>'C５级比赛'!P45*30</f>
        <v>7990.46238078</v>
      </c>
      <c r="Q45" s="16">
        <f>'C５级比赛'!Q45*30</f>
        <v>7491.05848198125</v>
      </c>
      <c r="R45" s="16">
        <f>'C５级比赛'!R45*30</f>
        <v>6658.71865065</v>
      </c>
      <c r="S45" s="16">
        <f>'C５级比赛'!S45*30</f>
        <v>5992.846785585</v>
      </c>
      <c r="T45" s="16">
        <f>'C５级比赛'!T45*30</f>
        <v>4609.88214275769</v>
      </c>
      <c r="U45" s="16">
        <f>'C５级比赛'!U45*30</f>
        <v>3995.23119039</v>
      </c>
      <c r="V45" s="16">
        <f>'C５级比赛'!V45*30</f>
        <v>2923.33989540732</v>
      </c>
      <c r="W45" s="16">
        <f>'C５级比赛'!W45*30</f>
        <v>2350.13599434706</v>
      </c>
      <c r="X45" s="16">
        <f>'C５级比赛'!X45*30</f>
        <v>1964.86779855246</v>
      </c>
      <c r="Y45" s="16">
        <f>'C５级比赛'!Y45*30</f>
        <v>1688.12585509437</v>
      </c>
      <c r="Z45" s="16">
        <f>'C５级比赛'!Z45*30</f>
        <v>1479.7152557</v>
      </c>
      <c r="AA45" s="16">
        <f>'C５级比赛'!AA45*30</f>
        <v>1317.10918364506</v>
      </c>
      <c r="AB45" s="16">
        <f>'C５级比赛'!AB45*30</f>
        <v>1198.569357117</v>
      </c>
      <c r="AC45" s="16">
        <f>'C５级比赛'!AC45*30</f>
        <v>990.5531877</v>
      </c>
      <c r="AD45" s="16">
        <f>'C５级比赛'!AD45*30</f>
        <v>850.049189444681</v>
      </c>
      <c r="AE45" s="16">
        <f>'C５级比赛'!AE45*30</f>
        <v>744.453016842857</v>
      </c>
      <c r="AF45" s="25">
        <f>'C５级比赛'!AF45*30</f>
        <v>662.193014981768</v>
      </c>
      <c r="AG45" s="25">
        <f>'C５级比赛'!AG45*30</f>
        <v>596.303162744776</v>
      </c>
      <c r="AH45" s="25">
        <f>'C５级比赛'!AH45*30</f>
        <v>398.195799706645</v>
      </c>
      <c r="AI45" s="25">
        <f>'C５级比赛'!AI45*30</f>
        <v>298.895101525436</v>
      </c>
      <c r="AJ45" s="25">
        <f>'C５级比赛'!AJ45*30</f>
        <v>239.235400622156</v>
      </c>
      <c r="AK45" s="25">
        <f>'C５级比赛'!AK45*30</f>
        <v>159.596452345806</v>
      </c>
      <c r="AL45" s="25">
        <f>'C５级比赛'!AL45*30</f>
        <v>116.411165221154</v>
      </c>
      <c r="AM45" s="25">
        <f>'C５级比赛'!AM45*30</f>
        <v>77.6332953939873</v>
      </c>
      <c r="AN45" s="25">
        <f>'C５级比赛'!AN45*30</f>
        <v>58.2346708577586</v>
      </c>
      <c r="AO45" s="25">
        <f>'C５级比赛'!AO45*30</f>
        <v>38.8295822680357</v>
      </c>
      <c r="AP45" s="25">
        <f>'C５级比赛'!AP45*30</f>
        <v>29.1246129433579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conditionalFormatting sqref="1:1048576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B68"/>
  <sheetViews>
    <sheetView tabSelected="1" topLeftCell="A19" workbookViewId="0">
      <selection activeCell="C48" sqref="C48"/>
    </sheetView>
  </sheetViews>
  <sheetFormatPr defaultColWidth="9" defaultRowHeight="10.8"/>
  <cols>
    <col min="1" max="6" width="9" style="6"/>
    <col min="7" max="7" width="9.75" style="6" customWidth="1"/>
    <col min="8" max="15" width="9" style="6"/>
    <col min="16" max="16" width="9" style="3"/>
    <col min="17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43" width="9.62962962962963" style="6"/>
    <col min="44" max="16384" width="9" style="6"/>
  </cols>
  <sheetData>
    <row r="1" spans="1:8">
      <c r="A1" s="8" t="s">
        <v>91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80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92</v>
      </c>
      <c r="T3" s="11" t="s">
        <v>20</v>
      </c>
      <c r="U3" s="11" t="s">
        <v>93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94</v>
      </c>
      <c r="AB3" s="11" t="s">
        <v>28</v>
      </c>
      <c r="AC3" s="11" t="s">
        <v>29</v>
      </c>
      <c r="AD3" s="11" t="s">
        <v>30</v>
      </c>
      <c r="AE3" s="11" t="s">
        <v>31</v>
      </c>
      <c r="AF3" s="11" t="s">
        <v>32</v>
      </c>
      <c r="AG3" s="11" t="s">
        <v>33</v>
      </c>
      <c r="AH3" s="11" t="s">
        <v>34</v>
      </c>
      <c r="AI3" s="11" t="s">
        <v>35</v>
      </c>
      <c r="AJ3" s="11" t="s">
        <v>36</v>
      </c>
      <c r="AK3" s="11" t="s">
        <v>37</v>
      </c>
      <c r="AL3" s="11" t="s">
        <v>38</v>
      </c>
      <c r="AM3" s="11" t="s">
        <v>39</v>
      </c>
      <c r="AN3" s="11" t="s">
        <v>40</v>
      </c>
      <c r="AO3" s="11" t="s">
        <v>41</v>
      </c>
      <c r="AP3" s="11" t="s">
        <v>42</v>
      </c>
      <c r="AQ3" s="30"/>
      <c r="AR3" s="30"/>
      <c r="AS3" s="30"/>
      <c r="AT3" s="30"/>
      <c r="AU3" s="30"/>
      <c r="AV3" s="30"/>
      <c r="AW3" s="30"/>
      <c r="AX3" s="30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</row>
    <row r="4" s="2" customFormat="1" spans="1:80">
      <c r="A4" s="12">
        <v>2</v>
      </c>
      <c r="B4" s="13">
        <v>5</v>
      </c>
      <c r="C4" s="14">
        <v>5</v>
      </c>
      <c r="D4" s="15">
        <f>C4/2</f>
        <v>2.5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80">
      <c r="A5" s="17" t="s">
        <v>43</v>
      </c>
      <c r="B5" s="18">
        <v>6</v>
      </c>
      <c r="C5" s="18">
        <f t="shared" ref="C5:C14" si="0">B5*0.7</f>
        <v>4.2</v>
      </c>
      <c r="D5" s="14">
        <f>SUM(B5:C5)</f>
        <v>10.2</v>
      </c>
      <c r="E5" s="15">
        <f>D5/4</f>
        <v>2.55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6"/>
      <c r="AC5" s="16"/>
      <c r="AD5" s="16"/>
      <c r="AE5" s="16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3"/>
      <c r="AR5" s="23"/>
      <c r="AS5" s="24"/>
      <c r="AT5" s="24"/>
      <c r="AU5" s="24"/>
      <c r="AV5" s="24"/>
      <c r="AW5" s="24"/>
      <c r="AX5" s="24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</row>
    <row r="6" spans="1:80">
      <c r="A6" s="17" t="s">
        <v>44</v>
      </c>
      <c r="B6" s="18">
        <v>7</v>
      </c>
      <c r="C6" s="18">
        <f t="shared" si="0"/>
        <v>4.9</v>
      </c>
      <c r="D6" s="16">
        <f t="shared" ref="D6:D14" si="1">B6/2</f>
        <v>3.5</v>
      </c>
      <c r="E6" s="14">
        <f>SUM(B6:D6)</f>
        <v>15.4</v>
      </c>
      <c r="F6" s="15">
        <f>E6/6</f>
        <v>2.56666666666667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6"/>
      <c r="AC6" s="16"/>
      <c r="AD6" s="16"/>
      <c r="AE6" s="16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3"/>
      <c r="AR6" s="23"/>
      <c r="AS6" s="24"/>
      <c r="AT6" s="24"/>
      <c r="AU6" s="24"/>
      <c r="AV6" s="24"/>
      <c r="AW6" s="24"/>
      <c r="AX6" s="24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>
      <c r="A7" s="17" t="s">
        <v>45</v>
      </c>
      <c r="B7" s="18">
        <v>8.5</v>
      </c>
      <c r="C7" s="18">
        <f t="shared" si="0"/>
        <v>5.95</v>
      </c>
      <c r="D7" s="16">
        <f t="shared" si="1"/>
        <v>4.25</v>
      </c>
      <c r="E7" s="16">
        <f t="shared" ref="E7:E14" si="2">B7*0.35</f>
        <v>2.975</v>
      </c>
      <c r="F7" s="14">
        <f>SUM(B7:E7)</f>
        <v>21.675</v>
      </c>
      <c r="G7" s="15">
        <f>F7/8</f>
        <v>2.709375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6"/>
      <c r="AC7" s="16"/>
      <c r="AD7" s="16"/>
      <c r="AE7" s="16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3"/>
      <c r="AR7" s="23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="2" customFormat="1" spans="1:80">
      <c r="A8" s="19" t="s">
        <v>46</v>
      </c>
      <c r="B8" s="13">
        <v>10</v>
      </c>
      <c r="C8" s="13">
        <f t="shared" si="0"/>
        <v>7</v>
      </c>
      <c r="D8" s="13">
        <f t="shared" si="1"/>
        <v>5</v>
      </c>
      <c r="E8" s="13">
        <f t="shared" si="2"/>
        <v>3.5</v>
      </c>
      <c r="F8" s="13">
        <f t="shared" ref="F8:F14" si="3">B8*0.2</f>
        <v>2</v>
      </c>
      <c r="G8" s="14">
        <f>SUM(B8:F8)</f>
        <v>27.5</v>
      </c>
      <c r="H8" s="15">
        <f>G8/10</f>
        <v>2.75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</row>
    <row r="9" spans="1:80">
      <c r="A9" s="17" t="s">
        <v>47</v>
      </c>
      <c r="B9" s="18">
        <v>12</v>
      </c>
      <c r="C9" s="18">
        <f t="shared" si="0"/>
        <v>8.4</v>
      </c>
      <c r="D9" s="16">
        <f t="shared" si="1"/>
        <v>6</v>
      </c>
      <c r="E9" s="16">
        <f t="shared" si="2"/>
        <v>4.2</v>
      </c>
      <c r="F9" s="16">
        <f t="shared" si="3"/>
        <v>2.4</v>
      </c>
      <c r="G9" s="16">
        <f t="shared" ref="G9:G14" si="4">B9/6</f>
        <v>2</v>
      </c>
      <c r="H9" s="14">
        <f>SUM(B9:G9)</f>
        <v>35</v>
      </c>
      <c r="I9" s="15">
        <f>H9/12</f>
        <v>2.91666666666667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6"/>
      <c r="AC9" s="16"/>
      <c r="AD9" s="16"/>
      <c r="AE9" s="16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</row>
    <row r="10" spans="1:80">
      <c r="A10" s="20" t="s">
        <v>48</v>
      </c>
      <c r="B10" s="18">
        <v>13.5</v>
      </c>
      <c r="C10" s="18">
        <f t="shared" si="0"/>
        <v>9.45</v>
      </c>
      <c r="D10" s="16">
        <f t="shared" si="1"/>
        <v>6.75</v>
      </c>
      <c r="E10" s="16">
        <f t="shared" si="2"/>
        <v>4.725</v>
      </c>
      <c r="F10" s="16">
        <f t="shared" si="3"/>
        <v>2.7</v>
      </c>
      <c r="G10" s="16">
        <f t="shared" si="4"/>
        <v>2.25</v>
      </c>
      <c r="H10" s="16">
        <f t="shared" ref="H10:H14" si="5">B10/7</f>
        <v>1.92857142857143</v>
      </c>
      <c r="I10" s="14">
        <f>SUM(B10:H10)</f>
        <v>41.3035714285714</v>
      </c>
      <c r="J10" s="15">
        <f>I10/14</f>
        <v>2.95025510204082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6"/>
      <c r="AC10" s="16"/>
      <c r="AD10" s="16"/>
      <c r="AE10" s="16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</row>
    <row r="11" spans="1:80">
      <c r="A11" s="20" t="s">
        <v>49</v>
      </c>
      <c r="B11" s="18">
        <v>15.5</v>
      </c>
      <c r="C11" s="18">
        <f t="shared" si="0"/>
        <v>10.85</v>
      </c>
      <c r="D11" s="16">
        <f t="shared" si="1"/>
        <v>7.75</v>
      </c>
      <c r="E11" s="16">
        <f t="shared" si="2"/>
        <v>5.425</v>
      </c>
      <c r="F11" s="16">
        <f t="shared" si="3"/>
        <v>3.1</v>
      </c>
      <c r="G11" s="16">
        <f t="shared" si="4"/>
        <v>2.58333333333333</v>
      </c>
      <c r="H11" s="16">
        <f t="shared" si="5"/>
        <v>2.21428571428571</v>
      </c>
      <c r="I11" s="16">
        <f t="shared" ref="I11:I14" si="6">B11/8</f>
        <v>1.9375</v>
      </c>
      <c r="J11" s="14">
        <f>SUM(B11:I11)</f>
        <v>49.3601190476191</v>
      </c>
      <c r="K11" s="15">
        <f>J11/16</f>
        <v>3.08500744047619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6"/>
      <c r="AC11" s="16"/>
      <c r="AD11" s="16"/>
      <c r="AE11" s="16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</row>
    <row r="12" spans="1:80">
      <c r="A12" s="20" t="s">
        <v>50</v>
      </c>
      <c r="B12" s="18">
        <v>17</v>
      </c>
      <c r="C12" s="18">
        <f t="shared" si="0"/>
        <v>11.9</v>
      </c>
      <c r="D12" s="16">
        <f t="shared" si="1"/>
        <v>8.5</v>
      </c>
      <c r="E12" s="16">
        <f t="shared" si="2"/>
        <v>5.95</v>
      </c>
      <c r="F12" s="16">
        <f t="shared" si="3"/>
        <v>3.4</v>
      </c>
      <c r="G12" s="16">
        <f t="shared" si="4"/>
        <v>2.83333333333333</v>
      </c>
      <c r="H12" s="16">
        <f t="shared" si="5"/>
        <v>2.42857142857143</v>
      </c>
      <c r="I12" s="16">
        <f t="shared" si="6"/>
        <v>2.125</v>
      </c>
      <c r="J12" s="16">
        <f t="shared" ref="J12:J14" si="7">B12/9</f>
        <v>1.88888888888889</v>
      </c>
      <c r="K12" s="14">
        <f>SUM(B12:J12)</f>
        <v>56.0257936507936</v>
      </c>
      <c r="L12" s="15">
        <f>K12/18</f>
        <v>3.11254409171076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6"/>
      <c r="AC12" s="16"/>
      <c r="AD12" s="16"/>
      <c r="AE12" s="16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</row>
    <row r="13" s="3" customFormat="1" spans="1:50">
      <c r="A13" s="21" t="s">
        <v>51</v>
      </c>
      <c r="B13" s="18">
        <v>18.5</v>
      </c>
      <c r="C13" s="18">
        <f t="shared" si="0"/>
        <v>12.95</v>
      </c>
      <c r="D13" s="16">
        <f t="shared" si="1"/>
        <v>9.25</v>
      </c>
      <c r="E13" s="16">
        <f t="shared" si="2"/>
        <v>6.475</v>
      </c>
      <c r="F13" s="16">
        <f t="shared" si="3"/>
        <v>3.7</v>
      </c>
      <c r="G13" s="16">
        <f t="shared" si="4"/>
        <v>3.08333333333333</v>
      </c>
      <c r="H13" s="16">
        <f t="shared" si="5"/>
        <v>2.64285714285714</v>
      </c>
      <c r="I13" s="16">
        <f t="shared" si="6"/>
        <v>2.3125</v>
      </c>
      <c r="J13" s="16">
        <f t="shared" si="7"/>
        <v>2.05555555555556</v>
      </c>
      <c r="K13" s="16">
        <f>B13/10</f>
        <v>1.85</v>
      </c>
      <c r="L13" s="14">
        <f>SUM(B13:K13)</f>
        <v>62.819246031746</v>
      </c>
      <c r="M13" s="15">
        <f>L13/20</f>
        <v>3.1409623015873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80">
      <c r="A14" s="20" t="s">
        <v>95</v>
      </c>
      <c r="B14" s="18">
        <v>20</v>
      </c>
      <c r="C14" s="18">
        <f t="shared" si="0"/>
        <v>14</v>
      </c>
      <c r="D14" s="16">
        <f t="shared" si="1"/>
        <v>10</v>
      </c>
      <c r="E14" s="16">
        <f t="shared" si="2"/>
        <v>7</v>
      </c>
      <c r="F14" s="16">
        <f t="shared" si="3"/>
        <v>4</v>
      </c>
      <c r="G14" s="16">
        <f t="shared" si="4"/>
        <v>3.33333333333333</v>
      </c>
      <c r="H14" s="16">
        <f t="shared" si="5"/>
        <v>2.85714285714286</v>
      </c>
      <c r="I14" s="16">
        <f t="shared" si="6"/>
        <v>2.5</v>
      </c>
      <c r="J14" s="16">
        <f t="shared" si="7"/>
        <v>2.22222222222222</v>
      </c>
      <c r="K14" s="16">
        <f>B14/10</f>
        <v>2</v>
      </c>
      <c r="L14" s="16">
        <f>B14/11</f>
        <v>1.81818181818182</v>
      </c>
      <c r="M14" s="14">
        <f>SUM(B14:L14)</f>
        <v>69.7308802308802</v>
      </c>
      <c r="N14" s="15">
        <f>M14/22</f>
        <v>3.16958546504001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6"/>
      <c r="AC14" s="16"/>
      <c r="AD14" s="16"/>
      <c r="AE14" s="16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</row>
    <row r="15" spans="1:80">
      <c r="A15" s="20" t="s">
        <v>96</v>
      </c>
      <c r="B15" s="18">
        <v>21.5</v>
      </c>
      <c r="C15" s="18">
        <f t="shared" ref="C15:C45" si="8">B15*0.7</f>
        <v>15.05</v>
      </c>
      <c r="D15" s="16">
        <f t="shared" ref="D15:D45" si="9">B15/2</f>
        <v>10.75</v>
      </c>
      <c r="E15" s="16">
        <f t="shared" ref="E15:E45" si="10">B15*0.35</f>
        <v>7.525</v>
      </c>
      <c r="F15" s="16">
        <f t="shared" ref="F15:F45" si="11">B15*0.2</f>
        <v>4.3</v>
      </c>
      <c r="G15" s="16">
        <f t="shared" ref="G15:G45" si="12">B15/6</f>
        <v>3.58333333333333</v>
      </c>
      <c r="H15" s="16">
        <f t="shared" ref="H15:H45" si="13">B15/7</f>
        <v>3.07142857142857</v>
      </c>
      <c r="I15" s="16">
        <f t="shared" ref="I15:I45" si="14">B15/8</f>
        <v>2.6875</v>
      </c>
      <c r="J15" s="16">
        <f t="shared" ref="J15:J24" si="15">B15/9</f>
        <v>2.38888888888889</v>
      </c>
      <c r="K15" s="16">
        <f t="shared" ref="K15:K24" si="16">B15/10</f>
        <v>2.15</v>
      </c>
      <c r="L15" s="16">
        <f t="shared" ref="L15:L24" si="17">B15/11</f>
        <v>1.95454545454545</v>
      </c>
      <c r="M15" s="16">
        <f>B15/12</f>
        <v>1.79166666666667</v>
      </c>
      <c r="N15" s="14">
        <f>SUM(B15:M15)</f>
        <v>76.7523629148629</v>
      </c>
      <c r="O15" s="15">
        <f>N15/24</f>
        <v>3.19801512145262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6"/>
      <c r="AC15" s="16"/>
      <c r="AD15" s="16"/>
      <c r="AE15" s="16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</row>
    <row r="16" spans="1:80">
      <c r="A16" s="20" t="s">
        <v>97</v>
      </c>
      <c r="B16" s="18">
        <v>22.8</v>
      </c>
      <c r="C16" s="18">
        <f t="shared" si="8"/>
        <v>15.96</v>
      </c>
      <c r="D16" s="16">
        <f t="shared" si="9"/>
        <v>11.4</v>
      </c>
      <c r="E16" s="16">
        <f t="shared" si="10"/>
        <v>7.98</v>
      </c>
      <c r="F16" s="16">
        <f t="shared" si="11"/>
        <v>4.56</v>
      </c>
      <c r="G16" s="16">
        <f t="shared" si="12"/>
        <v>3.8</v>
      </c>
      <c r="H16" s="16">
        <f t="shared" si="13"/>
        <v>3.25714285714286</v>
      </c>
      <c r="I16" s="16">
        <f t="shared" si="14"/>
        <v>2.85</v>
      </c>
      <c r="J16" s="16">
        <f t="shared" si="15"/>
        <v>2.53333333333333</v>
      </c>
      <c r="K16" s="16">
        <f t="shared" si="16"/>
        <v>2.28</v>
      </c>
      <c r="L16" s="16">
        <f t="shared" si="17"/>
        <v>2.07272727272727</v>
      </c>
      <c r="M16" s="16">
        <f t="shared" ref="M16:M24" si="18">B16/12</f>
        <v>1.9</v>
      </c>
      <c r="N16" s="16">
        <f>B16/13</f>
        <v>1.75384615384615</v>
      </c>
      <c r="O16" s="14">
        <f>SUM(B16:N16)</f>
        <v>83.1470496170496</v>
      </c>
      <c r="P16" s="15">
        <f>O16/26</f>
        <v>3.1979634468096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6"/>
      <c r="AC16" s="16"/>
      <c r="AD16" s="16"/>
      <c r="AE16" s="16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</row>
    <row r="17" spans="1:80">
      <c r="A17" s="20" t="s">
        <v>98</v>
      </c>
      <c r="B17" s="18">
        <v>24.4</v>
      </c>
      <c r="C17" s="18">
        <f t="shared" si="8"/>
        <v>17.08</v>
      </c>
      <c r="D17" s="16">
        <f t="shared" si="9"/>
        <v>12.2</v>
      </c>
      <c r="E17" s="16">
        <f t="shared" si="10"/>
        <v>8.54</v>
      </c>
      <c r="F17" s="16">
        <f t="shared" si="11"/>
        <v>4.88</v>
      </c>
      <c r="G17" s="16">
        <f t="shared" si="12"/>
        <v>4.06666666666667</v>
      </c>
      <c r="H17" s="16">
        <f t="shared" si="13"/>
        <v>3.48571428571429</v>
      </c>
      <c r="I17" s="16">
        <f t="shared" si="14"/>
        <v>3.05</v>
      </c>
      <c r="J17" s="16">
        <f t="shared" si="15"/>
        <v>2.71111111111111</v>
      </c>
      <c r="K17" s="16">
        <f t="shared" si="16"/>
        <v>2.44</v>
      </c>
      <c r="L17" s="16">
        <f t="shared" si="17"/>
        <v>2.21818181818182</v>
      </c>
      <c r="M17" s="16">
        <f t="shared" si="18"/>
        <v>2.03333333333333</v>
      </c>
      <c r="N17" s="16">
        <f t="shared" ref="N17:N24" si="19">B17/13</f>
        <v>1.87692307692308</v>
      </c>
      <c r="O17" s="16">
        <f>B17/14</f>
        <v>1.74285714285714</v>
      </c>
      <c r="P17" s="14">
        <f>SUM(B17:O17)</f>
        <v>90.7247874347874</v>
      </c>
      <c r="Q17" s="15">
        <f>P17/28</f>
        <v>3.24017097981384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6"/>
      <c r="AC17" s="16"/>
      <c r="AD17" s="16"/>
      <c r="AE17" s="16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</row>
    <row r="18" spans="1:80">
      <c r="A18" s="20" t="s">
        <v>99</v>
      </c>
      <c r="B18" s="18">
        <v>26</v>
      </c>
      <c r="C18" s="18">
        <f t="shared" si="8"/>
        <v>18.2</v>
      </c>
      <c r="D18" s="16">
        <f t="shared" si="9"/>
        <v>13</v>
      </c>
      <c r="E18" s="16">
        <f t="shared" si="10"/>
        <v>9.1</v>
      </c>
      <c r="F18" s="16">
        <f t="shared" si="11"/>
        <v>5.2</v>
      </c>
      <c r="G18" s="16">
        <f t="shared" si="12"/>
        <v>4.33333333333333</v>
      </c>
      <c r="H18" s="16">
        <f t="shared" si="13"/>
        <v>3.71428571428571</v>
      </c>
      <c r="I18" s="16">
        <f t="shared" si="14"/>
        <v>3.25</v>
      </c>
      <c r="J18" s="16">
        <f t="shared" si="15"/>
        <v>2.88888888888889</v>
      </c>
      <c r="K18" s="16">
        <f t="shared" si="16"/>
        <v>2.6</v>
      </c>
      <c r="L18" s="16">
        <f t="shared" si="17"/>
        <v>2.36363636363636</v>
      </c>
      <c r="M18" s="16">
        <f t="shared" si="18"/>
        <v>2.16666666666667</v>
      </c>
      <c r="N18" s="16">
        <f t="shared" si="19"/>
        <v>2</v>
      </c>
      <c r="O18" s="16">
        <f t="shared" ref="O18:O24" si="20">B18/14</f>
        <v>1.85714285714286</v>
      </c>
      <c r="P18" s="16">
        <f>B18/15</f>
        <v>1.73333333333333</v>
      </c>
      <c r="Q18" s="14">
        <f>SUM(B18:P18)</f>
        <v>98.4072871572871</v>
      </c>
      <c r="R18" s="15">
        <f>Q18/30</f>
        <v>3.2802429052429</v>
      </c>
      <c r="S18" s="16"/>
      <c r="T18" s="16"/>
      <c r="U18" s="16"/>
      <c r="V18" s="16"/>
      <c r="W18" s="18"/>
      <c r="X18" s="18"/>
      <c r="Y18" s="18"/>
      <c r="Z18" s="18"/>
      <c r="AA18" s="18"/>
      <c r="AB18" s="16"/>
      <c r="AC18" s="16"/>
      <c r="AD18" s="16"/>
      <c r="AE18" s="16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</row>
    <row r="19" spans="1:80">
      <c r="A19" s="20" t="s">
        <v>100</v>
      </c>
      <c r="B19" s="18">
        <v>29.5</v>
      </c>
      <c r="C19" s="18">
        <f t="shared" si="8"/>
        <v>20.65</v>
      </c>
      <c r="D19" s="16">
        <f t="shared" si="9"/>
        <v>14.75</v>
      </c>
      <c r="E19" s="16">
        <f t="shared" si="10"/>
        <v>10.325</v>
      </c>
      <c r="F19" s="16">
        <f t="shared" si="11"/>
        <v>5.9</v>
      </c>
      <c r="G19" s="16">
        <f t="shared" si="12"/>
        <v>4.91666666666667</v>
      </c>
      <c r="H19" s="16">
        <f t="shared" si="13"/>
        <v>4.21428571428571</v>
      </c>
      <c r="I19" s="16">
        <f t="shared" si="14"/>
        <v>3.6875</v>
      </c>
      <c r="J19" s="16">
        <f t="shared" si="15"/>
        <v>3.27777777777778</v>
      </c>
      <c r="K19" s="16">
        <f t="shared" si="16"/>
        <v>2.95</v>
      </c>
      <c r="L19" s="16">
        <f t="shared" si="17"/>
        <v>2.68181818181818</v>
      </c>
      <c r="M19" s="16">
        <f t="shared" si="18"/>
        <v>2.45833333333333</v>
      </c>
      <c r="N19" s="16">
        <f t="shared" si="19"/>
        <v>2.26923076923077</v>
      </c>
      <c r="O19" s="16">
        <f t="shared" si="20"/>
        <v>2.10714285714286</v>
      </c>
      <c r="P19" s="16">
        <f t="shared" ref="P19:P24" si="21">B19/15</f>
        <v>1.96666666666667</v>
      </c>
      <c r="Q19" s="16">
        <f>B19/16</f>
        <v>1.84375</v>
      </c>
      <c r="R19" s="14">
        <f>SUM(B19:P19)+2*Q19</f>
        <v>115.341921966922</v>
      </c>
      <c r="S19" s="15">
        <f>R19/35</f>
        <v>3.2954834847692</v>
      </c>
      <c r="T19" s="16"/>
      <c r="U19" s="16"/>
      <c r="V19" s="16"/>
      <c r="W19" s="18"/>
      <c r="X19" s="18"/>
      <c r="Y19" s="18"/>
      <c r="Z19" s="18"/>
      <c r="AA19" s="18"/>
      <c r="AB19" s="16"/>
      <c r="AC19" s="16"/>
      <c r="AD19" s="16"/>
      <c r="AE19" s="16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4"/>
      <c r="AR19" s="24"/>
      <c r="AS19" s="24"/>
      <c r="AT19" s="24"/>
      <c r="AU19" s="24"/>
      <c r="AV19" s="24"/>
      <c r="AW19" s="24"/>
      <c r="AX19" s="24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</row>
    <row r="20" spans="1:80">
      <c r="A20" s="20" t="s">
        <v>58</v>
      </c>
      <c r="B20" s="18">
        <v>33.5</v>
      </c>
      <c r="C20" s="18">
        <f t="shared" si="8"/>
        <v>23.45</v>
      </c>
      <c r="D20" s="16">
        <f t="shared" si="9"/>
        <v>16.75</v>
      </c>
      <c r="E20" s="16">
        <f t="shared" si="10"/>
        <v>11.725</v>
      </c>
      <c r="F20" s="16">
        <f t="shared" si="11"/>
        <v>6.7</v>
      </c>
      <c r="G20" s="16">
        <f t="shared" si="12"/>
        <v>5.58333333333333</v>
      </c>
      <c r="H20" s="16">
        <f t="shared" si="13"/>
        <v>4.78571428571429</v>
      </c>
      <c r="I20" s="16">
        <f t="shared" si="14"/>
        <v>4.1875</v>
      </c>
      <c r="J20" s="16">
        <f t="shared" si="15"/>
        <v>3.72222222222222</v>
      </c>
      <c r="K20" s="16">
        <f t="shared" si="16"/>
        <v>3.35</v>
      </c>
      <c r="L20" s="16">
        <f t="shared" si="17"/>
        <v>3.04545454545455</v>
      </c>
      <c r="M20" s="16">
        <f t="shared" si="18"/>
        <v>2.79166666666667</v>
      </c>
      <c r="N20" s="16">
        <f t="shared" si="19"/>
        <v>2.57692307692308</v>
      </c>
      <c r="O20" s="16">
        <f t="shared" si="20"/>
        <v>2.39285714285714</v>
      </c>
      <c r="P20" s="16">
        <f t="shared" si="21"/>
        <v>2.23333333333333</v>
      </c>
      <c r="Q20" s="16">
        <f t="shared" ref="Q20:Q24" si="22">B20/16</f>
        <v>2.09375</v>
      </c>
      <c r="R20" s="16">
        <f>B20/18</f>
        <v>1.86111111111111</v>
      </c>
      <c r="S20" s="14">
        <f>SUM(B20:P20)+2*Q20+3*R20</f>
        <v>136.564837939838</v>
      </c>
      <c r="T20" s="15">
        <f>S20/41</f>
        <v>3.33084970584971</v>
      </c>
      <c r="U20" s="16"/>
      <c r="V20" s="16"/>
      <c r="W20" s="18"/>
      <c r="X20" s="18"/>
      <c r="Y20" s="18"/>
      <c r="Z20" s="18"/>
      <c r="AA20" s="18"/>
      <c r="AB20" s="16"/>
      <c r="AC20" s="16"/>
      <c r="AD20" s="16"/>
      <c r="AE20" s="1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4"/>
      <c r="AR20" s="24"/>
      <c r="AS20" s="24"/>
      <c r="AT20" s="24"/>
      <c r="AU20" s="24"/>
      <c r="AV20" s="24"/>
      <c r="AW20" s="24"/>
      <c r="AX20" s="24"/>
      <c r="AY20" s="36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</row>
    <row r="21" spans="1:80">
      <c r="A21" s="20" t="s">
        <v>59</v>
      </c>
      <c r="B21" s="18">
        <v>39.3</v>
      </c>
      <c r="C21" s="18">
        <v>27.6</v>
      </c>
      <c r="D21" s="16">
        <f t="shared" si="9"/>
        <v>19.65</v>
      </c>
      <c r="E21" s="16">
        <f t="shared" si="10"/>
        <v>13.755</v>
      </c>
      <c r="F21" s="16">
        <f t="shared" si="11"/>
        <v>7.86</v>
      </c>
      <c r="G21" s="16">
        <f t="shared" si="12"/>
        <v>6.55</v>
      </c>
      <c r="H21" s="16">
        <f t="shared" si="13"/>
        <v>5.61428571428571</v>
      </c>
      <c r="I21" s="16">
        <f t="shared" si="14"/>
        <v>4.9125</v>
      </c>
      <c r="J21" s="16">
        <f t="shared" si="15"/>
        <v>4.36666666666667</v>
      </c>
      <c r="K21" s="16">
        <f t="shared" si="16"/>
        <v>3.93</v>
      </c>
      <c r="L21" s="16">
        <f t="shared" si="17"/>
        <v>3.57272727272727</v>
      </c>
      <c r="M21" s="16">
        <f t="shared" si="18"/>
        <v>3.275</v>
      </c>
      <c r="N21" s="16">
        <f t="shared" si="19"/>
        <v>3.02307692307692</v>
      </c>
      <c r="O21" s="16">
        <f t="shared" si="20"/>
        <v>2.80714285714286</v>
      </c>
      <c r="P21" s="16">
        <f t="shared" si="21"/>
        <v>2.62</v>
      </c>
      <c r="Q21" s="16">
        <f t="shared" si="22"/>
        <v>2.45625</v>
      </c>
      <c r="R21" s="16">
        <f t="shared" ref="R21:R45" si="23">B21/18</f>
        <v>2.18333333333333</v>
      </c>
      <c r="S21" s="16">
        <f>B21/20</f>
        <v>1.965</v>
      </c>
      <c r="T21" s="14">
        <f>SUM(B21:P21)+2*Q21+3*R21+5*S21</f>
        <v>170.123899433899</v>
      </c>
      <c r="U21" s="15">
        <f>T21/51</f>
        <v>3.33576273399803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</row>
    <row r="22" spans="1:80">
      <c r="A22" s="17" t="s">
        <v>60</v>
      </c>
      <c r="B22" s="18">
        <v>45.2</v>
      </c>
      <c r="C22" s="18">
        <f t="shared" si="8"/>
        <v>31.64</v>
      </c>
      <c r="D22" s="16">
        <f t="shared" si="9"/>
        <v>22.6</v>
      </c>
      <c r="E22" s="16">
        <f t="shared" si="10"/>
        <v>15.82</v>
      </c>
      <c r="F22" s="16">
        <f t="shared" si="11"/>
        <v>9.04</v>
      </c>
      <c r="G22" s="16">
        <f t="shared" si="12"/>
        <v>7.53333333333333</v>
      </c>
      <c r="H22" s="16">
        <f t="shared" si="13"/>
        <v>6.45714285714286</v>
      </c>
      <c r="I22" s="16">
        <f t="shared" si="14"/>
        <v>5.65</v>
      </c>
      <c r="J22" s="16">
        <f t="shared" si="15"/>
        <v>5.02222222222222</v>
      </c>
      <c r="K22" s="16">
        <f t="shared" si="16"/>
        <v>4.52</v>
      </c>
      <c r="L22" s="16">
        <f t="shared" si="17"/>
        <v>4.10909090909091</v>
      </c>
      <c r="M22" s="16">
        <f t="shared" si="18"/>
        <v>3.76666666666667</v>
      </c>
      <c r="N22" s="16">
        <f t="shared" si="19"/>
        <v>3.47692307692308</v>
      </c>
      <c r="O22" s="16">
        <f t="shared" si="20"/>
        <v>3.22857142857143</v>
      </c>
      <c r="P22" s="16">
        <f t="shared" si="21"/>
        <v>3.01333333333333</v>
      </c>
      <c r="Q22" s="16">
        <f t="shared" si="22"/>
        <v>2.825</v>
      </c>
      <c r="R22" s="16">
        <f t="shared" si="23"/>
        <v>2.51111111111111</v>
      </c>
      <c r="S22" s="16">
        <f t="shared" ref="S22:S24" si="24">B22/20</f>
        <v>2.26</v>
      </c>
      <c r="T22" s="16">
        <f>B22/26</f>
        <v>1.73846153846154</v>
      </c>
      <c r="U22" s="14">
        <f>SUM(B22:P22)+2*Q22+3*R22+5*S22+5*T22</f>
        <v>204.252924852925</v>
      </c>
      <c r="V22" s="15">
        <f>U22/61</f>
        <v>3.34840860414631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</row>
    <row r="23" spans="1:80">
      <c r="A23" s="17" t="s">
        <v>61</v>
      </c>
      <c r="B23" s="18">
        <v>56</v>
      </c>
      <c r="C23" s="18">
        <f t="shared" si="8"/>
        <v>39.2</v>
      </c>
      <c r="D23" s="16">
        <f t="shared" si="9"/>
        <v>28</v>
      </c>
      <c r="E23" s="16">
        <f t="shared" si="10"/>
        <v>19.6</v>
      </c>
      <c r="F23" s="16">
        <f t="shared" si="11"/>
        <v>11.2</v>
      </c>
      <c r="G23" s="16">
        <f t="shared" si="12"/>
        <v>9.33333333333333</v>
      </c>
      <c r="H23" s="16">
        <f t="shared" si="13"/>
        <v>8</v>
      </c>
      <c r="I23" s="16">
        <f t="shared" si="14"/>
        <v>7</v>
      </c>
      <c r="J23" s="16">
        <f t="shared" si="15"/>
        <v>6.22222222222222</v>
      </c>
      <c r="K23" s="16">
        <f t="shared" si="16"/>
        <v>5.6</v>
      </c>
      <c r="L23" s="16">
        <f t="shared" si="17"/>
        <v>5.09090909090909</v>
      </c>
      <c r="M23" s="16">
        <f t="shared" si="18"/>
        <v>4.66666666666667</v>
      </c>
      <c r="N23" s="16">
        <f t="shared" si="19"/>
        <v>4.30769230769231</v>
      </c>
      <c r="O23" s="16">
        <f t="shared" si="20"/>
        <v>4</v>
      </c>
      <c r="P23" s="16">
        <f t="shared" si="21"/>
        <v>3.73333333333333</v>
      </c>
      <c r="Q23" s="16">
        <f t="shared" si="22"/>
        <v>3.5</v>
      </c>
      <c r="R23" s="16">
        <f t="shared" si="23"/>
        <v>3.11111111111111</v>
      </c>
      <c r="S23" s="16">
        <f t="shared" si="24"/>
        <v>2.8</v>
      </c>
      <c r="T23" s="16">
        <f t="shared" ref="T23:T24" si="25">B23/26</f>
        <v>2.15384615384615</v>
      </c>
      <c r="U23" s="16">
        <f>B23/30</f>
        <v>1.86666666666667</v>
      </c>
      <c r="V23" s="14">
        <f>SUM(B23:P23)+2*Q23+3*R23+5*S23+5*T23+10*U23</f>
        <v>271.723387723388</v>
      </c>
      <c r="W23" s="15">
        <f>V23/81</f>
        <v>3.35460972498009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</row>
    <row r="24" s="2" customFormat="1" spans="1:80">
      <c r="A24" s="19" t="s">
        <v>62</v>
      </c>
      <c r="B24" s="13">
        <v>69</v>
      </c>
      <c r="C24" s="13">
        <f t="shared" si="8"/>
        <v>48.3</v>
      </c>
      <c r="D24" s="13">
        <f t="shared" si="9"/>
        <v>34.5</v>
      </c>
      <c r="E24" s="13">
        <f t="shared" si="10"/>
        <v>24.15</v>
      </c>
      <c r="F24" s="13">
        <f t="shared" si="11"/>
        <v>13.8</v>
      </c>
      <c r="G24" s="13">
        <f t="shared" si="12"/>
        <v>11.5</v>
      </c>
      <c r="H24" s="13">
        <f t="shared" si="13"/>
        <v>9.85714285714286</v>
      </c>
      <c r="I24" s="13">
        <f t="shared" si="14"/>
        <v>8.625</v>
      </c>
      <c r="J24" s="13">
        <f t="shared" si="15"/>
        <v>7.66666666666667</v>
      </c>
      <c r="K24" s="13">
        <f t="shared" si="16"/>
        <v>6.9</v>
      </c>
      <c r="L24" s="13">
        <f t="shared" si="17"/>
        <v>6.27272727272727</v>
      </c>
      <c r="M24" s="13">
        <f t="shared" si="18"/>
        <v>5.75</v>
      </c>
      <c r="N24" s="13">
        <f t="shared" si="19"/>
        <v>5.30769230769231</v>
      </c>
      <c r="O24" s="13">
        <f t="shared" si="20"/>
        <v>4.92857142857143</v>
      </c>
      <c r="P24" s="13">
        <f t="shared" si="21"/>
        <v>4.6</v>
      </c>
      <c r="Q24" s="13">
        <f t="shared" si="22"/>
        <v>4.3125</v>
      </c>
      <c r="R24" s="13">
        <f t="shared" si="23"/>
        <v>3.83333333333333</v>
      </c>
      <c r="S24" s="13">
        <f t="shared" si="24"/>
        <v>3.45</v>
      </c>
      <c r="T24" s="13">
        <f t="shared" si="25"/>
        <v>2.65384615384615</v>
      </c>
      <c r="U24" s="13">
        <f>B24/30</f>
        <v>2.3</v>
      </c>
      <c r="V24" s="13">
        <f>B24/41</f>
        <v>1.68292682926829</v>
      </c>
      <c r="W24" s="14">
        <f>SUM(B24:P24)+2*Q24+3*R24+5*S24+5*T24+10*U24+10*V24</f>
        <v>351.631299594714</v>
      </c>
      <c r="X24" s="15">
        <f>W24/101</f>
        <v>3.48149801578925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  <c r="AR24" s="24"/>
      <c r="AS24" s="24"/>
      <c r="AT24" s="24"/>
      <c r="AU24" s="24"/>
      <c r="AV24" s="24"/>
      <c r="AW24" s="24"/>
      <c r="AX24" s="24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</row>
    <row r="25" s="4" customFormat="1" spans="1:50">
      <c r="A25" s="22" t="s">
        <v>63</v>
      </c>
      <c r="B25" s="16">
        <v>79.6</v>
      </c>
      <c r="C25" s="16">
        <f t="shared" si="8"/>
        <v>55.72</v>
      </c>
      <c r="D25" s="16">
        <f t="shared" si="9"/>
        <v>39.8</v>
      </c>
      <c r="E25" s="16">
        <f t="shared" si="10"/>
        <v>27.86</v>
      </c>
      <c r="F25" s="16">
        <f t="shared" si="11"/>
        <v>15.92</v>
      </c>
      <c r="G25" s="16">
        <f t="shared" si="12"/>
        <v>13.2666666666667</v>
      </c>
      <c r="H25" s="16">
        <f t="shared" si="13"/>
        <v>11.3714285714286</v>
      </c>
      <c r="I25" s="16">
        <f t="shared" si="14"/>
        <v>9.95</v>
      </c>
      <c r="J25" s="16">
        <f t="shared" ref="J25:J45" si="26">B25/9</f>
        <v>8.84444444444444</v>
      </c>
      <c r="K25" s="16">
        <f t="shared" ref="K25:K45" si="27">B25/10</f>
        <v>7.96</v>
      </c>
      <c r="L25" s="16">
        <f t="shared" ref="L25:L45" si="28">B25/11</f>
        <v>7.23636363636364</v>
      </c>
      <c r="M25" s="16">
        <f t="shared" ref="M25:M45" si="29">B25/12</f>
        <v>6.63333333333333</v>
      </c>
      <c r="N25" s="16">
        <f t="shared" ref="N25:N45" si="30">B25/13</f>
        <v>6.12307692307692</v>
      </c>
      <c r="O25" s="16">
        <f t="shared" ref="O25:O45" si="31">B25/14</f>
        <v>5.68571428571429</v>
      </c>
      <c r="P25" s="16">
        <f t="shared" ref="P25:P45" si="32">B25/15</f>
        <v>5.30666666666667</v>
      </c>
      <c r="Q25" s="16">
        <f t="shared" ref="Q25:Q45" si="33">B25/16</f>
        <v>4.975</v>
      </c>
      <c r="R25" s="16">
        <f t="shared" si="23"/>
        <v>4.42222222222222</v>
      </c>
      <c r="S25" s="16">
        <f t="shared" ref="S25:S45" si="34">B25/20</f>
        <v>3.98</v>
      </c>
      <c r="T25" s="16">
        <f t="shared" ref="T25:T45" si="35">B25/26</f>
        <v>3.06153846153846</v>
      </c>
      <c r="U25" s="16">
        <f t="shared" ref="U25:U45" si="36">B25/30</f>
        <v>2.65333333333333</v>
      </c>
      <c r="V25" s="16">
        <f t="shared" ref="V25:V45" si="37">B25/41</f>
        <v>1.94146341463415</v>
      </c>
      <c r="W25" s="16">
        <f>B25/51</f>
        <v>1.56078431372549</v>
      </c>
      <c r="X25" s="14">
        <f>SUM(B25:P25)+2*Q25+3*R25+5*S25+5*T25+10*U25+10*V25+10*W25</f>
        <v>421.257864118983</v>
      </c>
      <c r="Y25" s="15">
        <f>X25/121</f>
        <v>3.48146995139655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31"/>
      <c r="AR25" s="31"/>
      <c r="AS25" s="31"/>
      <c r="AT25" s="31"/>
      <c r="AU25" s="31"/>
      <c r="AV25" s="31"/>
      <c r="AW25" s="31"/>
      <c r="AX25" s="31"/>
    </row>
    <row r="26" spans="1:80">
      <c r="A26" s="22" t="s">
        <v>64</v>
      </c>
      <c r="B26" s="16">
        <v>90</v>
      </c>
      <c r="C26" s="16">
        <f t="shared" si="8"/>
        <v>63</v>
      </c>
      <c r="D26" s="16">
        <f t="shared" si="9"/>
        <v>45</v>
      </c>
      <c r="E26" s="16">
        <f t="shared" si="10"/>
        <v>31.5</v>
      </c>
      <c r="F26" s="16">
        <f t="shared" si="11"/>
        <v>18</v>
      </c>
      <c r="G26" s="16">
        <f t="shared" si="12"/>
        <v>15</v>
      </c>
      <c r="H26" s="16">
        <f t="shared" si="13"/>
        <v>12.8571428571429</v>
      </c>
      <c r="I26" s="16">
        <f t="shared" si="14"/>
        <v>11.25</v>
      </c>
      <c r="J26" s="16">
        <f t="shared" si="26"/>
        <v>10</v>
      </c>
      <c r="K26" s="16">
        <f t="shared" si="27"/>
        <v>9</v>
      </c>
      <c r="L26" s="16">
        <f t="shared" si="28"/>
        <v>8.18181818181818</v>
      </c>
      <c r="M26" s="16">
        <f t="shared" si="29"/>
        <v>7.5</v>
      </c>
      <c r="N26" s="16">
        <f t="shared" si="30"/>
        <v>6.92307692307692</v>
      </c>
      <c r="O26" s="16">
        <f t="shared" si="31"/>
        <v>6.42857142857143</v>
      </c>
      <c r="P26" s="16">
        <f t="shared" si="32"/>
        <v>6</v>
      </c>
      <c r="Q26" s="16">
        <f t="shared" si="33"/>
        <v>5.625</v>
      </c>
      <c r="R26" s="16">
        <f t="shared" si="23"/>
        <v>5</v>
      </c>
      <c r="S26" s="16">
        <f t="shared" si="34"/>
        <v>4.5</v>
      </c>
      <c r="T26" s="16">
        <f t="shared" si="35"/>
        <v>3.46153846153846</v>
      </c>
      <c r="U26" s="16">
        <f t="shared" si="36"/>
        <v>3</v>
      </c>
      <c r="V26" s="16">
        <f t="shared" si="37"/>
        <v>2.19512195121951</v>
      </c>
      <c r="W26" s="16">
        <f t="shared" ref="W26:W45" si="38">B26/51</f>
        <v>1.76470588235294</v>
      </c>
      <c r="X26" s="16">
        <f>B26/61</f>
        <v>1.47540983606557</v>
      </c>
      <c r="Y26" s="14">
        <f>SUM(B26:P26)+2*Q26+3*R26+5*S26+5*T26+10*U26+10*V26+10*W26+10*X26</f>
        <v>491.050678394682</v>
      </c>
      <c r="Z26" s="15">
        <f>Y26/141</f>
        <v>3.48262892478498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</row>
    <row r="27" spans="1:80">
      <c r="A27" s="22" t="s">
        <v>65</v>
      </c>
      <c r="B27" s="16">
        <v>100.2</v>
      </c>
      <c r="C27" s="16">
        <f t="shared" si="8"/>
        <v>70.14</v>
      </c>
      <c r="D27" s="16">
        <f t="shared" si="9"/>
        <v>50.1</v>
      </c>
      <c r="E27" s="16">
        <f t="shared" si="10"/>
        <v>35.07</v>
      </c>
      <c r="F27" s="16">
        <f t="shared" si="11"/>
        <v>20.04</v>
      </c>
      <c r="G27" s="16">
        <f t="shared" si="12"/>
        <v>16.7</v>
      </c>
      <c r="H27" s="16">
        <f t="shared" si="13"/>
        <v>14.3142857142857</v>
      </c>
      <c r="I27" s="16">
        <f t="shared" si="14"/>
        <v>12.525</v>
      </c>
      <c r="J27" s="16">
        <f t="shared" si="26"/>
        <v>11.1333333333333</v>
      </c>
      <c r="K27" s="16">
        <f t="shared" si="27"/>
        <v>10.02</v>
      </c>
      <c r="L27" s="16">
        <f t="shared" si="28"/>
        <v>9.10909090909091</v>
      </c>
      <c r="M27" s="16">
        <f t="shared" si="29"/>
        <v>8.35</v>
      </c>
      <c r="N27" s="16">
        <f t="shared" si="30"/>
        <v>7.70769230769231</v>
      </c>
      <c r="O27" s="16">
        <f t="shared" si="31"/>
        <v>7.15714285714286</v>
      </c>
      <c r="P27" s="16">
        <f t="shared" si="32"/>
        <v>6.68</v>
      </c>
      <c r="Q27" s="16">
        <f t="shared" si="33"/>
        <v>6.2625</v>
      </c>
      <c r="R27" s="16">
        <f t="shared" si="23"/>
        <v>5.56666666666667</v>
      </c>
      <c r="S27" s="16">
        <f t="shared" si="34"/>
        <v>5.01</v>
      </c>
      <c r="T27" s="16">
        <f t="shared" si="35"/>
        <v>3.85384615384615</v>
      </c>
      <c r="U27" s="16">
        <f t="shared" si="36"/>
        <v>3.34</v>
      </c>
      <c r="V27" s="16">
        <f t="shared" si="37"/>
        <v>2.44390243902439</v>
      </c>
      <c r="W27" s="16">
        <f t="shared" si="38"/>
        <v>1.96470588235294</v>
      </c>
      <c r="X27" s="16">
        <f t="shared" ref="X27:X45" si="39">B27/61</f>
        <v>1.64262295081967</v>
      </c>
      <c r="Y27" s="16">
        <f>B27/71</f>
        <v>1.4112676056338</v>
      </c>
      <c r="Z27" s="14">
        <f>SUM(B27:P27)+2*Q27+3*R27+5*S27+5*T27+10*U27+10*V27+10*W27+10*X27+10*Y27</f>
        <v>560.815764669084</v>
      </c>
      <c r="AA27" s="15">
        <f>Z27/161</f>
        <v>3.48332773086388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</row>
    <row r="28" spans="1:80">
      <c r="A28" s="22" t="s">
        <v>66</v>
      </c>
      <c r="B28" s="16">
        <v>110.2</v>
      </c>
      <c r="C28" s="16">
        <f t="shared" si="8"/>
        <v>77.14</v>
      </c>
      <c r="D28" s="16">
        <f t="shared" si="9"/>
        <v>55.1</v>
      </c>
      <c r="E28" s="16">
        <f t="shared" si="10"/>
        <v>38.57</v>
      </c>
      <c r="F28" s="16">
        <f t="shared" si="11"/>
        <v>22.04</v>
      </c>
      <c r="G28" s="16">
        <f t="shared" si="12"/>
        <v>18.3666666666667</v>
      </c>
      <c r="H28" s="16">
        <f t="shared" si="13"/>
        <v>15.7428571428571</v>
      </c>
      <c r="I28" s="16">
        <f t="shared" si="14"/>
        <v>13.775</v>
      </c>
      <c r="J28" s="16">
        <f t="shared" si="26"/>
        <v>12.2444444444444</v>
      </c>
      <c r="K28" s="16">
        <f t="shared" si="27"/>
        <v>11.02</v>
      </c>
      <c r="L28" s="16">
        <f t="shared" si="28"/>
        <v>10.0181818181818</v>
      </c>
      <c r="M28" s="16">
        <f t="shared" si="29"/>
        <v>9.18333333333333</v>
      </c>
      <c r="N28" s="16">
        <f t="shared" si="30"/>
        <v>8.47692307692308</v>
      </c>
      <c r="O28" s="16">
        <f t="shared" si="31"/>
        <v>7.87142857142857</v>
      </c>
      <c r="P28" s="16">
        <f t="shared" si="32"/>
        <v>7.34666666666667</v>
      </c>
      <c r="Q28" s="16">
        <f t="shared" si="33"/>
        <v>6.8875</v>
      </c>
      <c r="R28" s="16">
        <f t="shared" si="23"/>
        <v>6.12222222222222</v>
      </c>
      <c r="S28" s="16">
        <f t="shared" si="34"/>
        <v>5.51</v>
      </c>
      <c r="T28" s="16">
        <f t="shared" si="35"/>
        <v>4.23846153846154</v>
      </c>
      <c r="U28" s="16">
        <f t="shared" si="36"/>
        <v>3.67333333333333</v>
      </c>
      <c r="V28" s="16">
        <f t="shared" si="37"/>
        <v>2.68780487804878</v>
      </c>
      <c r="W28" s="16">
        <f t="shared" si="38"/>
        <v>2.16078431372549</v>
      </c>
      <c r="X28" s="16">
        <f t="shared" si="39"/>
        <v>1.80655737704918</v>
      </c>
      <c r="Y28" s="16">
        <f t="shared" ref="Y28:Y45" si="40">B28/71</f>
        <v>1.55211267605634</v>
      </c>
      <c r="Z28" s="16">
        <f>B28/81</f>
        <v>1.36049382716049</v>
      </c>
      <c r="AA28" s="14">
        <f>SUM(B28:P28)+2*Q28+3*R28+5*S28+5*T28+10*U28+10*V28+10*W28+10*X28+10*Y28+10*Z28</f>
        <v>630.390340133212</v>
      </c>
      <c r="AB28" s="15">
        <f>AA28/181</f>
        <v>3.48281955874703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</row>
    <row r="29" spans="1:80">
      <c r="A29" s="22" t="s">
        <v>67</v>
      </c>
      <c r="B29" s="16">
        <v>120.1</v>
      </c>
      <c r="C29" s="16">
        <f t="shared" si="8"/>
        <v>84.07</v>
      </c>
      <c r="D29" s="16">
        <f t="shared" si="9"/>
        <v>60.05</v>
      </c>
      <c r="E29" s="16">
        <f t="shared" si="10"/>
        <v>42.035</v>
      </c>
      <c r="F29" s="16">
        <f t="shared" si="11"/>
        <v>24.02</v>
      </c>
      <c r="G29" s="16">
        <f t="shared" si="12"/>
        <v>20.0166666666667</v>
      </c>
      <c r="H29" s="16">
        <f t="shared" si="13"/>
        <v>17.1571428571429</v>
      </c>
      <c r="I29" s="16">
        <f t="shared" si="14"/>
        <v>15.0125</v>
      </c>
      <c r="J29" s="16">
        <f t="shared" si="26"/>
        <v>13.3444444444444</v>
      </c>
      <c r="K29" s="16">
        <f t="shared" si="27"/>
        <v>12.01</v>
      </c>
      <c r="L29" s="16">
        <f t="shared" si="28"/>
        <v>10.9181818181818</v>
      </c>
      <c r="M29" s="16">
        <f t="shared" si="29"/>
        <v>10.0083333333333</v>
      </c>
      <c r="N29" s="16">
        <f t="shared" si="30"/>
        <v>9.23846153846154</v>
      </c>
      <c r="O29" s="16">
        <f t="shared" si="31"/>
        <v>8.57857142857143</v>
      </c>
      <c r="P29" s="16">
        <f t="shared" si="32"/>
        <v>8.00666666666667</v>
      </c>
      <c r="Q29" s="16">
        <f t="shared" si="33"/>
        <v>7.50625</v>
      </c>
      <c r="R29" s="16">
        <f t="shared" si="23"/>
        <v>6.67222222222222</v>
      </c>
      <c r="S29" s="16">
        <f t="shared" si="34"/>
        <v>6.005</v>
      </c>
      <c r="T29" s="16">
        <f t="shared" si="35"/>
        <v>4.61923076923077</v>
      </c>
      <c r="U29" s="16">
        <f t="shared" si="36"/>
        <v>4.00333333333333</v>
      </c>
      <c r="V29" s="16">
        <f t="shared" si="37"/>
        <v>2.92926829268293</v>
      </c>
      <c r="W29" s="16">
        <f t="shared" si="38"/>
        <v>2.35490196078431</v>
      </c>
      <c r="X29" s="16">
        <f t="shared" si="39"/>
        <v>1.96885245901639</v>
      </c>
      <c r="Y29" s="16">
        <f t="shared" si="40"/>
        <v>1.69154929577465</v>
      </c>
      <c r="Z29" s="16">
        <f t="shared" ref="Z29:Z45" si="41">B29/81</f>
        <v>1.48271604938272</v>
      </c>
      <c r="AA29" s="16">
        <f>B29/91</f>
        <v>1.31978021978022</v>
      </c>
      <c r="AB29" s="14">
        <f>SUM(B29:P29)+2*Q29+3*R29+5*S29+5*T29+10*SUM(U29:AA29)</f>
        <v>700.220305373835</v>
      </c>
      <c r="AC29" s="15">
        <f>AB29/201</f>
        <v>3.48368311131261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</row>
    <row r="30" spans="1:80">
      <c r="A30" s="22" t="s">
        <v>68</v>
      </c>
      <c r="B30" s="16">
        <v>139.2</v>
      </c>
      <c r="C30" s="16">
        <f t="shared" si="8"/>
        <v>97.44</v>
      </c>
      <c r="D30" s="16">
        <f t="shared" si="9"/>
        <v>69.6</v>
      </c>
      <c r="E30" s="16">
        <f t="shared" si="10"/>
        <v>48.72</v>
      </c>
      <c r="F30" s="16">
        <f t="shared" si="11"/>
        <v>27.84</v>
      </c>
      <c r="G30" s="16">
        <f t="shared" si="12"/>
        <v>23.2</v>
      </c>
      <c r="H30" s="16">
        <f t="shared" si="13"/>
        <v>19.8857142857143</v>
      </c>
      <c r="I30" s="16">
        <f t="shared" si="14"/>
        <v>17.4</v>
      </c>
      <c r="J30" s="16">
        <f t="shared" si="26"/>
        <v>15.4666666666667</v>
      </c>
      <c r="K30" s="16">
        <f t="shared" si="27"/>
        <v>13.92</v>
      </c>
      <c r="L30" s="16">
        <f t="shared" si="28"/>
        <v>12.6545454545455</v>
      </c>
      <c r="M30" s="16">
        <f t="shared" si="29"/>
        <v>11.6</v>
      </c>
      <c r="N30" s="16">
        <f t="shared" si="30"/>
        <v>10.7076923076923</v>
      </c>
      <c r="O30" s="16">
        <f t="shared" si="31"/>
        <v>9.94285714285714</v>
      </c>
      <c r="P30" s="16">
        <f t="shared" si="32"/>
        <v>9.28</v>
      </c>
      <c r="Q30" s="16">
        <f t="shared" si="33"/>
        <v>8.7</v>
      </c>
      <c r="R30" s="16">
        <f t="shared" si="23"/>
        <v>7.73333333333333</v>
      </c>
      <c r="S30" s="16">
        <f t="shared" si="34"/>
        <v>6.96</v>
      </c>
      <c r="T30" s="16">
        <f t="shared" si="35"/>
        <v>5.35384615384615</v>
      </c>
      <c r="U30" s="16">
        <f t="shared" si="36"/>
        <v>4.64</v>
      </c>
      <c r="V30" s="16">
        <f t="shared" si="37"/>
        <v>3.39512195121951</v>
      </c>
      <c r="W30" s="16">
        <f t="shared" si="38"/>
        <v>2.72941176470588</v>
      </c>
      <c r="X30" s="16">
        <f t="shared" si="39"/>
        <v>2.28196721311475</v>
      </c>
      <c r="Y30" s="16">
        <f t="shared" si="40"/>
        <v>1.96056338028169</v>
      </c>
      <c r="Z30" s="16">
        <f t="shared" si="41"/>
        <v>1.71851851851852</v>
      </c>
      <c r="AA30" s="16">
        <f t="shared" ref="AA30:AA45" si="42">B30/91</f>
        <v>1.52967032967033</v>
      </c>
      <c r="AB30" s="16">
        <f>B30/100</f>
        <v>1.392</v>
      </c>
      <c r="AC30" s="14">
        <f>SUM(B30:P30)+2*Q30+3*R30+5*S30+5*T30+10*SUM(U30:AA30)+20*AB30</f>
        <v>839.419238201813</v>
      </c>
      <c r="AD30" s="15">
        <f>AC30/241</f>
        <v>3.48306737843076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</row>
    <row r="31" spans="1:80">
      <c r="A31" s="22" t="s">
        <v>69</v>
      </c>
      <c r="B31" s="16">
        <v>158</v>
      </c>
      <c r="C31" s="16">
        <f t="shared" si="8"/>
        <v>110.6</v>
      </c>
      <c r="D31" s="16">
        <f t="shared" si="9"/>
        <v>79</v>
      </c>
      <c r="E31" s="16">
        <f t="shared" si="10"/>
        <v>55.3</v>
      </c>
      <c r="F31" s="16">
        <f t="shared" si="11"/>
        <v>31.6</v>
      </c>
      <c r="G31" s="16">
        <f t="shared" si="12"/>
        <v>26.3333333333333</v>
      </c>
      <c r="H31" s="16">
        <f t="shared" si="13"/>
        <v>22.5714285714286</v>
      </c>
      <c r="I31" s="16">
        <f t="shared" si="14"/>
        <v>19.75</v>
      </c>
      <c r="J31" s="16">
        <f t="shared" si="26"/>
        <v>17.5555555555556</v>
      </c>
      <c r="K31" s="16">
        <f t="shared" si="27"/>
        <v>15.8</v>
      </c>
      <c r="L31" s="16">
        <f t="shared" si="28"/>
        <v>14.3636363636364</v>
      </c>
      <c r="M31" s="16">
        <f t="shared" si="29"/>
        <v>13.1666666666667</v>
      </c>
      <c r="N31" s="16">
        <f t="shared" si="30"/>
        <v>12.1538461538462</v>
      </c>
      <c r="O31" s="16">
        <f t="shared" si="31"/>
        <v>11.2857142857143</v>
      </c>
      <c r="P31" s="16">
        <f t="shared" si="32"/>
        <v>10.5333333333333</v>
      </c>
      <c r="Q31" s="16">
        <f t="shared" si="33"/>
        <v>9.875</v>
      </c>
      <c r="R31" s="16">
        <f t="shared" si="23"/>
        <v>8.77777777777778</v>
      </c>
      <c r="S31" s="16">
        <f t="shared" si="34"/>
        <v>7.9</v>
      </c>
      <c r="T31" s="16">
        <f t="shared" si="35"/>
        <v>6.07692307692308</v>
      </c>
      <c r="U31" s="16">
        <f t="shared" si="36"/>
        <v>5.26666666666667</v>
      </c>
      <c r="V31" s="16">
        <f t="shared" si="37"/>
        <v>3.85365853658537</v>
      </c>
      <c r="W31" s="16">
        <f t="shared" si="38"/>
        <v>3.09803921568627</v>
      </c>
      <c r="X31" s="16">
        <f t="shared" si="39"/>
        <v>2.59016393442623</v>
      </c>
      <c r="Y31" s="16">
        <f t="shared" si="40"/>
        <v>2.22535211267606</v>
      </c>
      <c r="Z31" s="16">
        <f t="shared" si="41"/>
        <v>1.95061728395062</v>
      </c>
      <c r="AA31" s="16">
        <f t="shared" si="42"/>
        <v>1.73626373626374</v>
      </c>
      <c r="AB31" s="16">
        <f t="shared" ref="AB31:AB45" si="43">B31/100</f>
        <v>1.58</v>
      </c>
      <c r="AC31" s="16">
        <f t="shared" ref="AC31:AC37" si="44">B31/121</f>
        <v>1.30578512396694</v>
      </c>
      <c r="AD31" s="14">
        <f>SUM(B31:P31)+2*Q31+3*R31+5*S31+5*T31+10*SUM(U31:AA31)+20*SUM(AB31:AC31)</f>
        <v>978.904780323351</v>
      </c>
      <c r="AE31" s="15">
        <f>AD31/281</f>
        <v>3.48364690506531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</row>
    <row r="32" spans="1:80">
      <c r="A32" s="22" t="s">
        <v>70</v>
      </c>
      <c r="B32" s="16">
        <v>176.5</v>
      </c>
      <c r="C32" s="16">
        <f t="shared" si="8"/>
        <v>123.55</v>
      </c>
      <c r="D32" s="16">
        <f t="shared" si="9"/>
        <v>88.25</v>
      </c>
      <c r="E32" s="16">
        <f t="shared" si="10"/>
        <v>61.775</v>
      </c>
      <c r="F32" s="16">
        <f t="shared" si="11"/>
        <v>35.3</v>
      </c>
      <c r="G32" s="16">
        <f t="shared" si="12"/>
        <v>29.4166666666667</v>
      </c>
      <c r="H32" s="16">
        <f t="shared" si="13"/>
        <v>25.2142857142857</v>
      </c>
      <c r="I32" s="16">
        <f t="shared" si="14"/>
        <v>22.0625</v>
      </c>
      <c r="J32" s="16">
        <f t="shared" si="26"/>
        <v>19.6111111111111</v>
      </c>
      <c r="K32" s="16">
        <f t="shared" si="27"/>
        <v>17.65</v>
      </c>
      <c r="L32" s="16">
        <f t="shared" si="28"/>
        <v>16.0454545454545</v>
      </c>
      <c r="M32" s="16">
        <f t="shared" si="29"/>
        <v>14.7083333333333</v>
      </c>
      <c r="N32" s="16">
        <f t="shared" si="30"/>
        <v>13.5769230769231</v>
      </c>
      <c r="O32" s="16">
        <f t="shared" si="31"/>
        <v>12.6071428571429</v>
      </c>
      <c r="P32" s="16">
        <f t="shared" si="32"/>
        <v>11.7666666666667</v>
      </c>
      <c r="Q32" s="16">
        <f t="shared" si="33"/>
        <v>11.03125</v>
      </c>
      <c r="R32" s="16">
        <f t="shared" si="23"/>
        <v>9.80555555555556</v>
      </c>
      <c r="S32" s="16">
        <f t="shared" si="34"/>
        <v>8.825</v>
      </c>
      <c r="T32" s="16">
        <f t="shared" si="35"/>
        <v>6.78846153846154</v>
      </c>
      <c r="U32" s="16">
        <f t="shared" si="36"/>
        <v>5.88333333333333</v>
      </c>
      <c r="V32" s="16">
        <f t="shared" si="37"/>
        <v>4.30487804878049</v>
      </c>
      <c r="W32" s="16">
        <f t="shared" si="38"/>
        <v>3.46078431372549</v>
      </c>
      <c r="X32" s="16">
        <f t="shared" si="39"/>
        <v>2.89344262295082</v>
      </c>
      <c r="Y32" s="16">
        <f t="shared" si="40"/>
        <v>2.48591549295775</v>
      </c>
      <c r="Z32" s="16">
        <f t="shared" si="41"/>
        <v>2.17901234567901</v>
      </c>
      <c r="AA32" s="16">
        <f t="shared" si="42"/>
        <v>1.93956043956044</v>
      </c>
      <c r="AB32" s="16">
        <f t="shared" si="43"/>
        <v>1.765</v>
      </c>
      <c r="AC32" s="16">
        <f t="shared" si="44"/>
        <v>1.45867768595041</v>
      </c>
      <c r="AD32" s="16">
        <f t="shared" ref="AD32:AD37" si="45">B32/141</f>
        <v>1.25177304964539</v>
      </c>
      <c r="AE32" s="14">
        <f>SUM(B32:P32)+2*Q32+3*R32+5*S32+5*T32+10*SUM(U32:AA32)+20*SUM(AB32:AD32)</f>
        <v>1118.55883901235</v>
      </c>
      <c r="AF32" s="27">
        <f>AE32/321</f>
        <v>3.48460697511635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</row>
    <row r="33" spans="1:80">
      <c r="A33" s="22" t="s">
        <v>71</v>
      </c>
      <c r="B33" s="16">
        <v>194.7</v>
      </c>
      <c r="C33" s="16">
        <f t="shared" si="8"/>
        <v>136.29</v>
      </c>
      <c r="D33" s="16">
        <f t="shared" si="9"/>
        <v>97.35</v>
      </c>
      <c r="E33" s="16">
        <f t="shared" si="10"/>
        <v>68.145</v>
      </c>
      <c r="F33" s="16">
        <f t="shared" si="11"/>
        <v>38.94</v>
      </c>
      <c r="G33" s="16">
        <f t="shared" si="12"/>
        <v>32.45</v>
      </c>
      <c r="H33" s="16">
        <f t="shared" si="13"/>
        <v>27.8142857142857</v>
      </c>
      <c r="I33" s="16">
        <f t="shared" si="14"/>
        <v>24.3375</v>
      </c>
      <c r="J33" s="16">
        <f t="shared" si="26"/>
        <v>21.6333333333333</v>
      </c>
      <c r="K33" s="16">
        <f t="shared" si="27"/>
        <v>19.47</v>
      </c>
      <c r="L33" s="16">
        <f t="shared" si="28"/>
        <v>17.7</v>
      </c>
      <c r="M33" s="16">
        <f t="shared" si="29"/>
        <v>16.225</v>
      </c>
      <c r="N33" s="16">
        <f t="shared" si="30"/>
        <v>14.9769230769231</v>
      </c>
      <c r="O33" s="16">
        <f t="shared" si="31"/>
        <v>13.9071428571429</v>
      </c>
      <c r="P33" s="16">
        <f t="shared" si="32"/>
        <v>12.98</v>
      </c>
      <c r="Q33" s="16">
        <f t="shared" si="33"/>
        <v>12.16875</v>
      </c>
      <c r="R33" s="16">
        <f t="shared" si="23"/>
        <v>10.8166666666667</v>
      </c>
      <c r="S33" s="16">
        <f t="shared" si="34"/>
        <v>9.735</v>
      </c>
      <c r="T33" s="16">
        <f t="shared" si="35"/>
        <v>7.48846153846154</v>
      </c>
      <c r="U33" s="16">
        <f t="shared" si="36"/>
        <v>6.49</v>
      </c>
      <c r="V33" s="16">
        <f t="shared" si="37"/>
        <v>4.74878048780488</v>
      </c>
      <c r="W33" s="16">
        <f t="shared" si="38"/>
        <v>3.81764705882353</v>
      </c>
      <c r="X33" s="16">
        <f t="shared" si="39"/>
        <v>3.19180327868852</v>
      </c>
      <c r="Y33" s="16">
        <f t="shared" si="40"/>
        <v>2.74225352112676</v>
      </c>
      <c r="Z33" s="16">
        <f t="shared" si="41"/>
        <v>2.4037037037037</v>
      </c>
      <c r="AA33" s="16">
        <f t="shared" si="42"/>
        <v>2.13956043956044</v>
      </c>
      <c r="AB33" s="16">
        <f t="shared" si="43"/>
        <v>1.947</v>
      </c>
      <c r="AC33" s="16">
        <f t="shared" si="44"/>
        <v>1.60909090909091</v>
      </c>
      <c r="AD33" s="16">
        <f t="shared" si="45"/>
        <v>1.38085106382979</v>
      </c>
      <c r="AE33" s="16">
        <f t="shared" ref="AE33:AE37" si="46">B33/161</f>
        <v>1.20931677018634</v>
      </c>
      <c r="AF33" s="28">
        <f>SUM(B33:P33)+2*Q33+3*R33+5*S33+5*T33+10*SUM(U33:AA33)+20*SUM(AB33:AE33)</f>
        <v>1258.08665243321</v>
      </c>
      <c r="AG33" s="27">
        <f>AF33/361</f>
        <v>3.48500457737732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</row>
    <row r="34" spans="1:80">
      <c r="A34" s="22" t="s">
        <v>72</v>
      </c>
      <c r="B34" s="16">
        <v>212.7</v>
      </c>
      <c r="C34" s="16">
        <f t="shared" si="8"/>
        <v>148.89</v>
      </c>
      <c r="D34" s="16">
        <f t="shared" si="9"/>
        <v>106.35</v>
      </c>
      <c r="E34" s="16">
        <f t="shared" si="10"/>
        <v>74.445</v>
      </c>
      <c r="F34" s="16">
        <f t="shared" si="11"/>
        <v>42.54</v>
      </c>
      <c r="G34" s="16">
        <f t="shared" si="12"/>
        <v>35.45</v>
      </c>
      <c r="H34" s="16">
        <f t="shared" si="13"/>
        <v>30.3857142857143</v>
      </c>
      <c r="I34" s="16">
        <f t="shared" si="14"/>
        <v>26.5875</v>
      </c>
      <c r="J34" s="16">
        <f t="shared" si="26"/>
        <v>23.6333333333333</v>
      </c>
      <c r="K34" s="16">
        <f t="shared" si="27"/>
        <v>21.27</v>
      </c>
      <c r="L34" s="16">
        <f t="shared" si="28"/>
        <v>19.3363636363636</v>
      </c>
      <c r="M34" s="16">
        <f t="shared" si="29"/>
        <v>17.725</v>
      </c>
      <c r="N34" s="16">
        <f t="shared" si="30"/>
        <v>16.3615384615385</v>
      </c>
      <c r="O34" s="16">
        <f t="shared" si="31"/>
        <v>15.1928571428571</v>
      </c>
      <c r="P34" s="16">
        <f t="shared" si="32"/>
        <v>14.18</v>
      </c>
      <c r="Q34" s="16">
        <f t="shared" si="33"/>
        <v>13.29375</v>
      </c>
      <c r="R34" s="16">
        <f t="shared" si="23"/>
        <v>11.8166666666667</v>
      </c>
      <c r="S34" s="16">
        <f t="shared" si="34"/>
        <v>10.635</v>
      </c>
      <c r="T34" s="16">
        <f t="shared" si="35"/>
        <v>8.18076923076923</v>
      </c>
      <c r="U34" s="16">
        <f t="shared" si="36"/>
        <v>7.09</v>
      </c>
      <c r="V34" s="16">
        <f t="shared" si="37"/>
        <v>5.18780487804878</v>
      </c>
      <c r="W34" s="16">
        <f t="shared" si="38"/>
        <v>4.17058823529412</v>
      </c>
      <c r="X34" s="16">
        <f t="shared" si="39"/>
        <v>3.48688524590164</v>
      </c>
      <c r="Y34" s="16">
        <f t="shared" si="40"/>
        <v>2.99577464788732</v>
      </c>
      <c r="Z34" s="16">
        <f t="shared" si="41"/>
        <v>2.62592592592593</v>
      </c>
      <c r="AA34" s="16">
        <f t="shared" si="42"/>
        <v>2.33736263736264</v>
      </c>
      <c r="AB34" s="16">
        <f t="shared" si="43"/>
        <v>2.127</v>
      </c>
      <c r="AC34" s="16">
        <f t="shared" si="44"/>
        <v>1.75785123966942</v>
      </c>
      <c r="AD34" s="16">
        <f t="shared" si="45"/>
        <v>1.50851063829787</v>
      </c>
      <c r="AE34" s="16">
        <f t="shared" si="46"/>
        <v>1.32111801242236</v>
      </c>
      <c r="AF34" s="25">
        <f t="shared" ref="AF34:AF37" si="47">B34/181</f>
        <v>1.17513812154696</v>
      </c>
      <c r="AG34" s="28">
        <f>SUM(B34:P34)+2*Q34+3*R34+5*S34+5*T34+10*SUM(U34:AA34)+20*SUM(AB34:AF34)</f>
        <v>1397.89942895659</v>
      </c>
      <c r="AH34" s="27">
        <f>AG34/401</f>
        <v>3.4860334886698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  <row r="35" spans="1:80">
      <c r="A35" s="22" t="s">
        <v>73</v>
      </c>
      <c r="B35" s="16">
        <v>296.3</v>
      </c>
      <c r="C35" s="16">
        <f t="shared" si="8"/>
        <v>207.41</v>
      </c>
      <c r="D35" s="16">
        <f t="shared" si="9"/>
        <v>148.15</v>
      </c>
      <c r="E35" s="16">
        <f t="shared" si="10"/>
        <v>103.705</v>
      </c>
      <c r="F35" s="16">
        <f t="shared" si="11"/>
        <v>59.26</v>
      </c>
      <c r="G35" s="16">
        <f t="shared" si="12"/>
        <v>49.3833333333333</v>
      </c>
      <c r="H35" s="16">
        <f t="shared" si="13"/>
        <v>42.3285714285714</v>
      </c>
      <c r="I35" s="16">
        <f t="shared" si="14"/>
        <v>37.0375</v>
      </c>
      <c r="J35" s="16">
        <f t="shared" si="26"/>
        <v>32.9222222222222</v>
      </c>
      <c r="K35" s="16">
        <f t="shared" si="27"/>
        <v>29.63</v>
      </c>
      <c r="L35" s="16">
        <f t="shared" si="28"/>
        <v>26.9363636363636</v>
      </c>
      <c r="M35" s="16">
        <f t="shared" si="29"/>
        <v>24.6916666666667</v>
      </c>
      <c r="N35" s="16">
        <f t="shared" si="30"/>
        <v>22.7923076923077</v>
      </c>
      <c r="O35" s="16">
        <f t="shared" si="31"/>
        <v>21.1642857142857</v>
      </c>
      <c r="P35" s="16">
        <f t="shared" si="32"/>
        <v>19.7533333333333</v>
      </c>
      <c r="Q35" s="16">
        <f t="shared" si="33"/>
        <v>18.51875</v>
      </c>
      <c r="R35" s="16">
        <f t="shared" si="23"/>
        <v>16.4611111111111</v>
      </c>
      <c r="S35" s="16">
        <f t="shared" si="34"/>
        <v>14.815</v>
      </c>
      <c r="T35" s="16">
        <f t="shared" si="35"/>
        <v>11.3961538461538</v>
      </c>
      <c r="U35" s="16">
        <f t="shared" si="36"/>
        <v>9.87666666666667</v>
      </c>
      <c r="V35" s="16">
        <f t="shared" si="37"/>
        <v>7.22682926829268</v>
      </c>
      <c r="W35" s="16">
        <f t="shared" si="38"/>
        <v>5.80980392156863</v>
      </c>
      <c r="X35" s="16">
        <f t="shared" si="39"/>
        <v>4.85737704918033</v>
      </c>
      <c r="Y35" s="16">
        <f t="shared" si="40"/>
        <v>4.17323943661972</v>
      </c>
      <c r="Z35" s="16">
        <f t="shared" si="41"/>
        <v>3.65802469135802</v>
      </c>
      <c r="AA35" s="16">
        <f t="shared" si="42"/>
        <v>3.25604395604396</v>
      </c>
      <c r="AB35" s="16">
        <f t="shared" si="43"/>
        <v>2.963</v>
      </c>
      <c r="AC35" s="16">
        <f t="shared" si="44"/>
        <v>2.44876033057851</v>
      </c>
      <c r="AD35" s="16">
        <f t="shared" si="45"/>
        <v>2.10141843971631</v>
      </c>
      <c r="AE35" s="16">
        <f t="shared" si="46"/>
        <v>1.84037267080745</v>
      </c>
      <c r="AF35" s="25">
        <f t="shared" si="47"/>
        <v>1.63701657458564</v>
      </c>
      <c r="AG35" s="25">
        <f t="shared" ref="AG35:AG37" si="48">B35/201</f>
        <v>1.47412935323383</v>
      </c>
      <c r="AH35" s="28">
        <f>SUM(B35:P35)+2*Q35+3*R35+5*S35+5*T35+10*SUM(U35:AA35)+20*SUM(AB35:AF35)+100*AG35</f>
        <v>2094.74533212563</v>
      </c>
      <c r="AI35" s="27">
        <f>AH35/601</f>
        <v>3.48543316493449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</row>
    <row r="36" spans="1:80">
      <c r="A36" s="22" t="s">
        <v>74</v>
      </c>
      <c r="B36" s="16">
        <v>377.2</v>
      </c>
      <c r="C36" s="16">
        <f t="shared" si="8"/>
        <v>264.04</v>
      </c>
      <c r="D36" s="16">
        <f t="shared" si="9"/>
        <v>188.6</v>
      </c>
      <c r="E36" s="16">
        <f t="shared" si="10"/>
        <v>132.02</v>
      </c>
      <c r="F36" s="16">
        <f t="shared" si="11"/>
        <v>75.44</v>
      </c>
      <c r="G36" s="16">
        <f t="shared" si="12"/>
        <v>62.8666666666667</v>
      </c>
      <c r="H36" s="16">
        <f t="shared" si="13"/>
        <v>53.8857142857143</v>
      </c>
      <c r="I36" s="16">
        <f t="shared" si="14"/>
        <v>47.15</v>
      </c>
      <c r="J36" s="16">
        <f t="shared" si="26"/>
        <v>41.9111111111111</v>
      </c>
      <c r="K36" s="16">
        <f t="shared" si="27"/>
        <v>37.72</v>
      </c>
      <c r="L36" s="16">
        <f t="shared" si="28"/>
        <v>34.2909090909091</v>
      </c>
      <c r="M36" s="16">
        <f t="shared" si="29"/>
        <v>31.4333333333333</v>
      </c>
      <c r="N36" s="16">
        <f t="shared" si="30"/>
        <v>29.0153846153846</v>
      </c>
      <c r="O36" s="16">
        <f t="shared" si="31"/>
        <v>26.9428571428571</v>
      </c>
      <c r="P36" s="16">
        <f t="shared" si="32"/>
        <v>25.1466666666667</v>
      </c>
      <c r="Q36" s="16">
        <f t="shared" si="33"/>
        <v>23.575</v>
      </c>
      <c r="R36" s="16">
        <f t="shared" si="23"/>
        <v>20.9555555555556</v>
      </c>
      <c r="S36" s="16">
        <f t="shared" si="34"/>
        <v>18.86</v>
      </c>
      <c r="T36" s="16">
        <f t="shared" si="35"/>
        <v>14.5076923076923</v>
      </c>
      <c r="U36" s="16">
        <f t="shared" si="36"/>
        <v>12.5733333333333</v>
      </c>
      <c r="V36" s="16">
        <f t="shared" si="37"/>
        <v>9.2</v>
      </c>
      <c r="W36" s="16">
        <f t="shared" si="38"/>
        <v>7.39607843137255</v>
      </c>
      <c r="X36" s="16">
        <f t="shared" si="39"/>
        <v>6.18360655737705</v>
      </c>
      <c r="Y36" s="16">
        <f t="shared" si="40"/>
        <v>5.31267605633803</v>
      </c>
      <c r="Z36" s="16">
        <f t="shared" si="41"/>
        <v>4.65679012345679</v>
      </c>
      <c r="AA36" s="16">
        <f t="shared" si="42"/>
        <v>4.14505494505494</v>
      </c>
      <c r="AB36" s="16">
        <f t="shared" si="43"/>
        <v>3.772</v>
      </c>
      <c r="AC36" s="16">
        <f t="shared" si="44"/>
        <v>3.11735537190083</v>
      </c>
      <c r="AD36" s="16">
        <f t="shared" si="45"/>
        <v>2.67517730496454</v>
      </c>
      <c r="AE36" s="16">
        <f t="shared" si="46"/>
        <v>2.34285714285714</v>
      </c>
      <c r="AF36" s="25">
        <f t="shared" si="47"/>
        <v>2.08397790055249</v>
      </c>
      <c r="AG36" s="25">
        <f t="shared" si="48"/>
        <v>1.87661691542289</v>
      </c>
      <c r="AH36" s="25">
        <f>B36/301</f>
        <v>1.2531561461794</v>
      </c>
      <c r="AI36" s="28">
        <f>SUM(B36:P36)+2*Q36+3*R36+5*S36+5*T36+10*SUM(U36:AA36)+20*SUM(AB36:AF36)+100*SUM(AG36:AH36)</f>
        <v>2791.99782615283</v>
      </c>
      <c r="AJ36" s="27">
        <f>AI36/801</f>
        <v>3.48564023240053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</row>
    <row r="37" s="2" customFormat="1" spans="1:80">
      <c r="A37" s="19" t="s">
        <v>75</v>
      </c>
      <c r="B37" s="13">
        <v>456</v>
      </c>
      <c r="C37" s="13">
        <f t="shared" si="8"/>
        <v>319.2</v>
      </c>
      <c r="D37" s="13">
        <f t="shared" si="9"/>
        <v>228</v>
      </c>
      <c r="E37" s="13">
        <f t="shared" si="10"/>
        <v>159.6</v>
      </c>
      <c r="F37" s="13">
        <f t="shared" si="11"/>
        <v>91.2</v>
      </c>
      <c r="G37" s="13">
        <f t="shared" si="12"/>
        <v>76</v>
      </c>
      <c r="H37" s="13">
        <f t="shared" si="13"/>
        <v>65.1428571428571</v>
      </c>
      <c r="I37" s="13">
        <f t="shared" si="14"/>
        <v>57</v>
      </c>
      <c r="J37" s="13">
        <f t="shared" si="26"/>
        <v>50.6666666666667</v>
      </c>
      <c r="K37" s="13">
        <f t="shared" si="27"/>
        <v>45.6</v>
      </c>
      <c r="L37" s="13">
        <f t="shared" si="28"/>
        <v>41.4545454545455</v>
      </c>
      <c r="M37" s="13">
        <f t="shared" si="29"/>
        <v>38</v>
      </c>
      <c r="N37" s="13">
        <f t="shared" si="30"/>
        <v>35.0769230769231</v>
      </c>
      <c r="O37" s="13">
        <f t="shared" si="31"/>
        <v>32.5714285714286</v>
      </c>
      <c r="P37" s="13">
        <f t="shared" si="32"/>
        <v>30.4</v>
      </c>
      <c r="Q37" s="13">
        <f t="shared" si="33"/>
        <v>28.5</v>
      </c>
      <c r="R37" s="13">
        <f t="shared" si="23"/>
        <v>25.3333333333333</v>
      </c>
      <c r="S37" s="13">
        <f t="shared" si="34"/>
        <v>22.8</v>
      </c>
      <c r="T37" s="13">
        <f t="shared" si="35"/>
        <v>17.5384615384615</v>
      </c>
      <c r="U37" s="13">
        <f t="shared" si="36"/>
        <v>15.2</v>
      </c>
      <c r="V37" s="13">
        <f t="shared" si="37"/>
        <v>11.1219512195122</v>
      </c>
      <c r="W37" s="13">
        <f t="shared" si="38"/>
        <v>8.94117647058824</v>
      </c>
      <c r="X37" s="13">
        <f t="shared" si="39"/>
        <v>7.47540983606557</v>
      </c>
      <c r="Y37" s="13">
        <f t="shared" si="40"/>
        <v>6.42253521126761</v>
      </c>
      <c r="Z37" s="13">
        <f t="shared" si="41"/>
        <v>5.62962962962963</v>
      </c>
      <c r="AA37" s="13">
        <f t="shared" si="42"/>
        <v>5.01098901098901</v>
      </c>
      <c r="AB37" s="13">
        <f t="shared" si="43"/>
        <v>4.56</v>
      </c>
      <c r="AC37" s="13">
        <f t="shared" si="44"/>
        <v>3.76859504132231</v>
      </c>
      <c r="AD37" s="13">
        <f t="shared" si="45"/>
        <v>3.23404255319149</v>
      </c>
      <c r="AE37" s="13">
        <f t="shared" si="46"/>
        <v>2.83229813664596</v>
      </c>
      <c r="AF37" s="29">
        <f t="shared" si="47"/>
        <v>2.51933701657459</v>
      </c>
      <c r="AG37" s="29">
        <f t="shared" si="48"/>
        <v>2.26865671641791</v>
      </c>
      <c r="AH37" s="29">
        <f>B37/301</f>
        <v>1.51495016611296</v>
      </c>
      <c r="AI37" s="29">
        <f>B37/401</f>
        <v>1.13715710723192</v>
      </c>
      <c r="AJ37" s="28">
        <f>SUM(B37:P37)+2*Q37+3*R37+5*S37+5*T37+10*SUM(U37:AA37)+20*SUM(AB37:AF37)+100*SUM(AG37:AI37)</f>
        <v>3488.98349631622</v>
      </c>
      <c r="AK37" s="27">
        <f>AJ37/1001</f>
        <v>3.4854979983179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</row>
    <row r="38" s="3" customFormat="1" spans="1:50">
      <c r="A38" s="22" t="s">
        <v>76</v>
      </c>
      <c r="B38" s="16">
        <f>B37*1.1</f>
        <v>501.6</v>
      </c>
      <c r="C38" s="16">
        <f t="shared" ref="C38:C44" si="49">B38*0.7*1.3</f>
        <v>456.456</v>
      </c>
      <c r="D38" s="16">
        <f>B38/2*1.3</f>
        <v>326.04</v>
      </c>
      <c r="E38" s="16">
        <f>B38*0.35*1.4</f>
        <v>245.784</v>
      </c>
      <c r="F38" s="16">
        <f>B38*0.2*1.4</f>
        <v>140.448</v>
      </c>
      <c r="G38" s="16">
        <f>B38/6*1.4</f>
        <v>117.04</v>
      </c>
      <c r="H38" s="16">
        <f>B38/7*1.4</f>
        <v>100.32</v>
      </c>
      <c r="I38" s="16">
        <f>B38/8*1.4</f>
        <v>87.78</v>
      </c>
      <c r="J38" s="16">
        <f>B38/9*1.4</f>
        <v>78.0266666666667</v>
      </c>
      <c r="K38" s="16">
        <f>B38/10*1.4</f>
        <v>70.224</v>
      </c>
      <c r="L38" s="16">
        <f>B38/11*1.4</f>
        <v>63.84</v>
      </c>
      <c r="M38" s="16">
        <f>B38/12*1.4</f>
        <v>58.52</v>
      </c>
      <c r="N38" s="16">
        <f>B38/13*1.4</f>
        <v>54.0184615384615</v>
      </c>
      <c r="O38" s="16">
        <f>B38/14*1.4</f>
        <v>50.16</v>
      </c>
      <c r="P38" s="16">
        <f>B38/15*1.4</f>
        <v>46.816</v>
      </c>
      <c r="Q38" s="16">
        <f>B38/16*1.4</f>
        <v>43.89</v>
      </c>
      <c r="R38" s="16">
        <f>B38/18*1.4</f>
        <v>39.0133333333333</v>
      </c>
      <c r="S38" s="16">
        <f>B38/20*1.3</f>
        <v>32.604</v>
      </c>
      <c r="T38" s="16">
        <f>B38/26*1.3</f>
        <v>25.08</v>
      </c>
      <c r="U38" s="16">
        <f>B38/30*1.3</f>
        <v>21.736</v>
      </c>
      <c r="V38" s="16">
        <f>B38/41*1.3</f>
        <v>15.9043902439024</v>
      </c>
      <c r="W38" s="16">
        <f>B38/51*1.3</f>
        <v>12.7858823529412</v>
      </c>
      <c r="X38" s="16">
        <f>B38/61*1.3</f>
        <v>10.6898360655738</v>
      </c>
      <c r="Y38" s="16">
        <f>B38/71*1.3</f>
        <v>9.18422535211268</v>
      </c>
      <c r="Z38" s="16">
        <f>B38/81*1.3</f>
        <v>8.05037037037037</v>
      </c>
      <c r="AA38" s="16">
        <f>B38/91*1.3</f>
        <v>7.16571428571429</v>
      </c>
      <c r="AB38" s="16">
        <f>B38/100*1.3</f>
        <v>6.5208</v>
      </c>
      <c r="AC38" s="16">
        <f>B38/121*1.3</f>
        <v>5.38909090909091</v>
      </c>
      <c r="AD38" s="16">
        <f>B38/141*1.3</f>
        <v>4.62468085106383</v>
      </c>
      <c r="AE38" s="16">
        <f>B38/161*1.3</f>
        <v>4.05018633540373</v>
      </c>
      <c r="AF38" s="25">
        <f>B38/181*1.3</f>
        <v>3.60265193370166</v>
      </c>
      <c r="AG38" s="25">
        <f>B38/201*1.3</f>
        <v>3.24417910447761</v>
      </c>
      <c r="AH38" s="25">
        <f>B38/301*1.3</f>
        <v>2.16637873754153</v>
      </c>
      <c r="AI38" s="25">
        <f>B38/401*1.3</f>
        <v>1.62613466334165</v>
      </c>
      <c r="AJ38" s="25">
        <f>B38/501*1.3</f>
        <v>1.30155688622755</v>
      </c>
      <c r="AK38" s="28">
        <f>SUM(B38:P38)+2*Q38+3*R38+5*S38+5*T38+10*SUM(U38:AA38)+20*SUM(AB38:AF38)+100*SUM(AG38:AI38)+250*AJ38</f>
        <v>5258.28398758944</v>
      </c>
      <c r="AL38" s="27">
        <f>AK38/1501</f>
        <v>3.50318720025946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</row>
    <row r="39" spans="1:80">
      <c r="A39" s="22" t="s">
        <v>77</v>
      </c>
      <c r="B39" s="16">
        <f>B38*1.1</f>
        <v>551.76</v>
      </c>
      <c r="C39" s="16">
        <f t="shared" si="49"/>
        <v>502.1016</v>
      </c>
      <c r="D39" s="16">
        <f>B39/2*1.7</f>
        <v>468.996</v>
      </c>
      <c r="E39" s="16">
        <f>B39*0.35*1.7</f>
        <v>328.2972</v>
      </c>
      <c r="F39" s="16">
        <f>B39*0.2*1.7</f>
        <v>187.5984</v>
      </c>
      <c r="G39" s="16">
        <f>B39/6*1.7</f>
        <v>156.332</v>
      </c>
      <c r="H39" s="16">
        <f>B39/7*1.7</f>
        <v>133.998857142857</v>
      </c>
      <c r="I39" s="16">
        <f>B39/8*1.7</f>
        <v>117.249</v>
      </c>
      <c r="J39" s="16">
        <f>B39/9*1.7</f>
        <v>104.221333333333</v>
      </c>
      <c r="K39" s="16">
        <f>B39/10*1.7</f>
        <v>93.7992</v>
      </c>
      <c r="L39" s="16">
        <f>B39/11*1.7</f>
        <v>85.272</v>
      </c>
      <c r="M39" s="16">
        <f>B39/12*1.7</f>
        <v>78.166</v>
      </c>
      <c r="N39" s="16">
        <f>B39/13*1.7</f>
        <v>72.1532307692308</v>
      </c>
      <c r="O39" s="16">
        <f>B39/14*1.7</f>
        <v>66.9994285714286</v>
      </c>
      <c r="P39" s="16">
        <f>B39/15*1.7</f>
        <v>62.5328</v>
      </c>
      <c r="Q39" s="16">
        <f>B39/16*1.7</f>
        <v>58.6245</v>
      </c>
      <c r="R39" s="16">
        <f>B39/18*1.7</f>
        <v>52.1106666666667</v>
      </c>
      <c r="S39" s="16">
        <f>B39/20*1.7</f>
        <v>46.8996</v>
      </c>
      <c r="T39" s="16">
        <f>B39/26*1.7</f>
        <v>36.0766153846154</v>
      </c>
      <c r="U39" s="16">
        <f>B39/30*1.7</f>
        <v>31.2664</v>
      </c>
      <c r="V39" s="16">
        <f>B39/41*1.5</f>
        <v>20.1863414634146</v>
      </c>
      <c r="W39" s="16">
        <f>B39/51*1.5</f>
        <v>16.2282352941176</v>
      </c>
      <c r="X39" s="16">
        <f>B39/61*1.5</f>
        <v>13.567868852459</v>
      </c>
      <c r="Y39" s="16">
        <f>B39/71*1.5</f>
        <v>11.6569014084507</v>
      </c>
      <c r="Z39" s="16">
        <f>B39/81*1.5</f>
        <v>10.2177777777778</v>
      </c>
      <c r="AA39" s="16">
        <f>B39/91*1.5</f>
        <v>9.09494505494506</v>
      </c>
      <c r="AB39" s="16">
        <f>B39/100*1.5</f>
        <v>8.2764</v>
      </c>
      <c r="AC39" s="16">
        <f>B39/121*1.5</f>
        <v>6.84</v>
      </c>
      <c r="AD39" s="16">
        <f>B39/141*1.5</f>
        <v>5.86978723404255</v>
      </c>
      <c r="AE39" s="16">
        <f>B39/161*1.5</f>
        <v>5.14062111801242</v>
      </c>
      <c r="AF39" s="25">
        <f>B39/181*1.5</f>
        <v>4.57259668508287</v>
      </c>
      <c r="AG39" s="25">
        <f>B39/201*1.5</f>
        <v>4.11761194029851</v>
      </c>
      <c r="AH39" s="25">
        <f>B39/301*1.5</f>
        <v>2.74963455149502</v>
      </c>
      <c r="AI39" s="25">
        <f>B39/401*1.5</f>
        <v>2.06394014962594</v>
      </c>
      <c r="AJ39" s="25">
        <f>B39/501*1.5</f>
        <v>1.65197604790419</v>
      </c>
      <c r="AK39" s="25">
        <f>B39/751*1.5</f>
        <v>1.10205059920107</v>
      </c>
      <c r="AL39" s="28">
        <f>SUM(B39:P39)+2*Q39+3*R39+5*S39+5*T39+10*SUM(U39:AA39)+20*SUM(AB39:AF39)+100*SUM(AG39:AI39)+250*SUM(AJ39:AK39)</f>
        <v>7015.73725191259</v>
      </c>
      <c r="AM39" s="27">
        <f>AL39/2001</f>
        <v>3.50611556817221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</row>
    <row r="40" s="3" customFormat="1" spans="1:50">
      <c r="A40" s="22" t="s">
        <v>78</v>
      </c>
      <c r="B40" s="16">
        <f t="shared" ref="B40:B44" si="50">B39*1.15</f>
        <v>634.524</v>
      </c>
      <c r="C40" s="16">
        <f t="shared" si="49"/>
        <v>577.41684</v>
      </c>
      <c r="D40" s="16">
        <f t="shared" ref="D40:D44" si="51">B40/2*1.65</f>
        <v>523.4823</v>
      </c>
      <c r="E40" s="16">
        <f t="shared" ref="E40:E44" si="52">B40*0.35*2.2</f>
        <v>488.58348</v>
      </c>
      <c r="F40" s="16">
        <f>B40*0.2*2.2</f>
        <v>279.19056</v>
      </c>
      <c r="G40" s="16">
        <f>B40/6*2.2</f>
        <v>232.6588</v>
      </c>
      <c r="H40" s="16">
        <f>B40/7*2.2</f>
        <v>199.421828571429</v>
      </c>
      <c r="I40" s="16">
        <f>B40/8*2.2</f>
        <v>174.4941</v>
      </c>
      <c r="J40" s="16">
        <f>B40/9*2.2</f>
        <v>155.105866666667</v>
      </c>
      <c r="K40" s="16">
        <f>B40/10*2.2</f>
        <v>139.59528</v>
      </c>
      <c r="L40" s="16">
        <f>B40/11*2.2</f>
        <v>126.9048</v>
      </c>
      <c r="M40" s="16">
        <f>B40/12*2.2</f>
        <v>116.3294</v>
      </c>
      <c r="N40" s="16">
        <f>B40/13*2.2</f>
        <v>107.380984615385</v>
      </c>
      <c r="O40" s="16">
        <f>B40/14*2.2</f>
        <v>99.7109142857143</v>
      </c>
      <c r="P40" s="16">
        <f>B40/15*2.2</f>
        <v>93.06352</v>
      </c>
      <c r="Q40" s="16">
        <f>B40/16*2.2</f>
        <v>87.24705</v>
      </c>
      <c r="R40" s="16">
        <f>B40/18*2.2</f>
        <v>77.5529333333334</v>
      </c>
      <c r="S40" s="16">
        <f>B40/20*2.2</f>
        <v>69.79764</v>
      </c>
      <c r="T40" s="16">
        <f>B40/26*2.2</f>
        <v>53.6904923076923</v>
      </c>
      <c r="U40" s="16">
        <f>B40/30*2.2</f>
        <v>46.53176</v>
      </c>
      <c r="V40" s="16">
        <f>B40/41*2.2</f>
        <v>34.0476292682927</v>
      </c>
      <c r="W40" s="16">
        <f>B40/51*2.2</f>
        <v>27.3716235294118</v>
      </c>
      <c r="X40" s="16">
        <f>B40/61*2.2</f>
        <v>22.8844721311475</v>
      </c>
      <c r="Y40" s="16">
        <f>B40/71*2.2</f>
        <v>19.6613070422535</v>
      </c>
      <c r="Z40" s="16">
        <f>B40/81*2.2</f>
        <v>17.2339851851852</v>
      </c>
      <c r="AA40" s="16">
        <f>B40/91*2.2</f>
        <v>15.3401406593407</v>
      </c>
      <c r="AB40" s="16">
        <f>B40/100*2.2</f>
        <v>13.959528</v>
      </c>
      <c r="AC40" s="16">
        <f>B40/121*2.2</f>
        <v>11.5368</v>
      </c>
      <c r="AD40" s="16">
        <f>B40/141*2</f>
        <v>9.00034042553192</v>
      </c>
      <c r="AE40" s="16">
        <f>B40/161*2</f>
        <v>7.88228571428572</v>
      </c>
      <c r="AF40" s="25">
        <f>B40/181*2</f>
        <v>7.01131491712707</v>
      </c>
      <c r="AG40" s="25">
        <f>B40/201*2</f>
        <v>6.31367164179105</v>
      </c>
      <c r="AH40" s="25">
        <f>B40/301*2</f>
        <v>4.21610631229236</v>
      </c>
      <c r="AI40" s="25">
        <f>B40/401*2</f>
        <v>3.16470822942643</v>
      </c>
      <c r="AJ40" s="25">
        <f>B40/501*1.6</f>
        <v>2.02642395209581</v>
      </c>
      <c r="AK40" s="25">
        <f>B40/751*1.6</f>
        <v>1.35184873501997</v>
      </c>
      <c r="AL40" s="25">
        <f>B40/1001*1.6</f>
        <v>1.01422417582418</v>
      </c>
      <c r="AM40" s="25">
        <f>SUM(B40:P40)+2*Q40+3*R40+5*S40+5*T40+10*SUM(U40:AA40)+20*SUM(AB40:AF40)+100*SUM(AG40:AI40)+250*SUM(AJ40:AK40)+500*AL40</f>
        <v>10512.0996730149</v>
      </c>
      <c r="AN40" s="25">
        <f>AM40/3001</f>
        <v>3.5028656024708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</row>
    <row r="41" s="3" customFormat="1" spans="1:50">
      <c r="A41" s="22" t="s">
        <v>79</v>
      </c>
      <c r="B41" s="16">
        <f t="shared" si="50"/>
        <v>729.7026</v>
      </c>
      <c r="C41" s="16">
        <f t="shared" si="49"/>
        <v>664.029366</v>
      </c>
      <c r="D41" s="16">
        <f t="shared" si="51"/>
        <v>602.004645</v>
      </c>
      <c r="E41" s="16">
        <f t="shared" si="52"/>
        <v>561.871002</v>
      </c>
      <c r="F41" s="16">
        <f>B41*0.2*2.6</f>
        <v>379.445352</v>
      </c>
      <c r="G41" s="16">
        <f>B41/6*2.6</f>
        <v>316.20446</v>
      </c>
      <c r="H41" s="16">
        <f>B41/7*2.6</f>
        <v>271.032394285714</v>
      </c>
      <c r="I41" s="16">
        <f>B41/8*2.6</f>
        <v>237.153345</v>
      </c>
      <c r="J41" s="16">
        <f>B41/9*2.6</f>
        <v>210.802973333333</v>
      </c>
      <c r="K41" s="16">
        <f>B41/10*2.6</f>
        <v>189.722676</v>
      </c>
      <c r="L41" s="16">
        <f>B41/11*2.6</f>
        <v>172.47516</v>
      </c>
      <c r="M41" s="16">
        <f>B41/12*2.6</f>
        <v>158.10223</v>
      </c>
      <c r="N41" s="16">
        <f>B41/13*2.6</f>
        <v>145.94052</v>
      </c>
      <c r="O41" s="16">
        <f>B41/14*2.6</f>
        <v>135.516197142857</v>
      </c>
      <c r="P41" s="16">
        <f>B41/15*2.6</f>
        <v>126.481784</v>
      </c>
      <c r="Q41" s="16">
        <f>B41/16*2.6</f>
        <v>118.5766725</v>
      </c>
      <c r="R41" s="16">
        <f>B41/18*2.6</f>
        <v>105.401486666667</v>
      </c>
      <c r="S41" s="16">
        <f>B41/20*2.6</f>
        <v>94.861338</v>
      </c>
      <c r="T41" s="16">
        <f>B41/26*2.6</f>
        <v>72.97026</v>
      </c>
      <c r="U41" s="16">
        <f>B41/30*2.6</f>
        <v>63.240892</v>
      </c>
      <c r="V41" s="16">
        <f>B41/41*2.6</f>
        <v>46.2738234146342</v>
      </c>
      <c r="W41" s="16">
        <f>B41/51*2.6</f>
        <v>37.2005247058824</v>
      </c>
      <c r="X41" s="16">
        <f>B41/61*2.6</f>
        <v>31.1020780327869</v>
      </c>
      <c r="Y41" s="16">
        <f>B41/71*2.6</f>
        <v>26.7215036619718</v>
      </c>
      <c r="Z41" s="16">
        <f>B41/81*2.6</f>
        <v>23.4225525925926</v>
      </c>
      <c r="AA41" s="16">
        <f>B41/91*2.6</f>
        <v>20.8486457142857</v>
      </c>
      <c r="AB41" s="16">
        <f>B41/100*2.6</f>
        <v>18.9722676</v>
      </c>
      <c r="AC41" s="16">
        <f>B41/121*2.2</f>
        <v>13.26732</v>
      </c>
      <c r="AD41" s="16">
        <f>B41/141*2.2</f>
        <v>11.3854306382979</v>
      </c>
      <c r="AE41" s="16">
        <f>B41/161*2.2</f>
        <v>9.97109142857143</v>
      </c>
      <c r="AF41" s="25">
        <f>B41/181*2.2</f>
        <v>8.86931337016575</v>
      </c>
      <c r="AG41" s="25">
        <f>B41/201*2.2</f>
        <v>7.98679462686567</v>
      </c>
      <c r="AH41" s="25">
        <f>B41/301*2</f>
        <v>4.84852225913621</v>
      </c>
      <c r="AI41" s="25">
        <f>B41/401*2</f>
        <v>3.6394144638404</v>
      </c>
      <c r="AJ41" s="25">
        <f>B41/501*2</f>
        <v>2.91298443113772</v>
      </c>
      <c r="AK41" s="25">
        <f>B41/751*2</f>
        <v>1.94328255659121</v>
      </c>
      <c r="AL41" s="25">
        <f>B41/1001*2</f>
        <v>1.45794725274725</v>
      </c>
      <c r="AM41" s="25">
        <f>B41/1501*1.6</f>
        <v>0.77783088607595</v>
      </c>
      <c r="AN41" s="25">
        <f>SUM(B41:P41)+2*Q41+3*R41+5*S41+5*T41+10*SUM(U41:AA41)+20*SUM(AB41:AF41)+100*SUM(AG41:AI41)+250*SUM(AJ41:AK41)+500*SUM(AL41:AM41)</f>
        <v>14009.8381130522</v>
      </c>
      <c r="AO41" s="25">
        <f>AN41/4001</f>
        <v>3.50158413222999</v>
      </c>
      <c r="AP41" s="25"/>
      <c r="AQ41" s="24"/>
      <c r="AR41" s="24"/>
      <c r="AS41" s="24"/>
      <c r="AT41" s="24"/>
      <c r="AU41" s="24"/>
      <c r="AV41" s="24"/>
      <c r="AW41" s="24"/>
      <c r="AX41" s="24"/>
    </row>
    <row r="42" s="3" customFormat="1" spans="1:50">
      <c r="A42" s="22" t="s">
        <v>80</v>
      </c>
      <c r="B42" s="16">
        <f t="shared" si="50"/>
        <v>839.15799</v>
      </c>
      <c r="C42" s="16">
        <f t="shared" si="49"/>
        <v>763.6337709</v>
      </c>
      <c r="D42" s="16">
        <f t="shared" si="51"/>
        <v>692.30534175</v>
      </c>
      <c r="E42" s="16">
        <f t="shared" si="52"/>
        <v>646.1516523</v>
      </c>
      <c r="F42" s="16">
        <f>B42*0.2*3.3</f>
        <v>553.8442734</v>
      </c>
      <c r="G42" s="16">
        <f>B42/6*3.3</f>
        <v>461.5368945</v>
      </c>
      <c r="H42" s="16">
        <f>B42/7*3.3</f>
        <v>395.603052428571</v>
      </c>
      <c r="I42" s="16">
        <f>B42/8*3.3</f>
        <v>346.152670875</v>
      </c>
      <c r="J42" s="16">
        <f>B42/9*3.3</f>
        <v>307.691263</v>
      </c>
      <c r="K42" s="16">
        <f>B42/10*3.3</f>
        <v>276.9221367</v>
      </c>
      <c r="L42" s="16">
        <f>B42/11*3.3</f>
        <v>251.747397</v>
      </c>
      <c r="M42" s="16">
        <f>B42/12*3.3</f>
        <v>230.76844725</v>
      </c>
      <c r="N42" s="16">
        <f>B42/13*3.3</f>
        <v>213.017028230769</v>
      </c>
      <c r="O42" s="16">
        <f>B42/14*3.3</f>
        <v>197.801526214286</v>
      </c>
      <c r="P42" s="16">
        <f>B42/15*3.3</f>
        <v>184.6147578</v>
      </c>
      <c r="Q42" s="16">
        <f>B42/16*3.3</f>
        <v>173.0763354375</v>
      </c>
      <c r="R42" s="16">
        <f>B42/18*3.3</f>
        <v>153.8456315</v>
      </c>
      <c r="S42" s="16">
        <f>B42/20*3.3</f>
        <v>138.46106835</v>
      </c>
      <c r="T42" s="16">
        <f>B42/26*3.3</f>
        <v>106.508514115385</v>
      </c>
      <c r="U42" s="16">
        <f>B42/30*3.3</f>
        <v>92.3073789</v>
      </c>
      <c r="V42" s="16">
        <f>B42/41*3.3</f>
        <v>67.5419845609756</v>
      </c>
      <c r="W42" s="16">
        <f>B42/51*3.3</f>
        <v>54.2984581764706</v>
      </c>
      <c r="X42" s="16">
        <f>B42/61*3.3</f>
        <v>45.3970715901639</v>
      </c>
      <c r="Y42" s="16">
        <f>B42/71*3.3</f>
        <v>39.0031178450704</v>
      </c>
      <c r="Z42" s="16">
        <f>B42/81*3.3</f>
        <v>34.1879181111111</v>
      </c>
      <c r="AA42" s="16">
        <f>B42/91*3.3</f>
        <v>30.431004032967</v>
      </c>
      <c r="AB42" s="16">
        <f>B42/100*3.3</f>
        <v>27.69221367</v>
      </c>
      <c r="AC42" s="16">
        <f>B42/121*3.3</f>
        <v>22.886127</v>
      </c>
      <c r="AD42" s="16">
        <f>B42/141*3.3</f>
        <v>19.6398678510638</v>
      </c>
      <c r="AE42" s="16">
        <f>B42/161*3.3</f>
        <v>17.2001327142857</v>
      </c>
      <c r="AF42" s="25">
        <f>B42/181*3.3</f>
        <v>15.2995655635359</v>
      </c>
      <c r="AG42" s="25">
        <f>B42/201*3.3</f>
        <v>13.7772207313433</v>
      </c>
      <c r="AH42" s="25">
        <f>B42/301*3</f>
        <v>8.36370089700997</v>
      </c>
      <c r="AI42" s="25">
        <f>B42/401*3</f>
        <v>6.27798995012469</v>
      </c>
      <c r="AJ42" s="25">
        <f>B42/501*3</f>
        <v>5.02489814371257</v>
      </c>
      <c r="AK42" s="25">
        <f>B42/751*2.5</f>
        <v>2.79346867509987</v>
      </c>
      <c r="AL42" s="25">
        <f>B42/1001*2</f>
        <v>1.67663934065934</v>
      </c>
      <c r="AM42" s="25">
        <f>B42/1501*2</f>
        <v>1.11813189873418</v>
      </c>
      <c r="AN42" s="25">
        <f>B42/2001*1.8</f>
        <v>0.75486475862069</v>
      </c>
      <c r="AO42" s="25">
        <f>SUM(B42:P42)+2*Q42+3*R42+5*S42+5*T42+10*SUM(U42:AA42)+20*SUM(AB42:AF42)+100*SUM(AG42:AI42)+250*SUM(AJ42:AK42)+500*SUM(AL42:AM42)+1000*AN42</f>
        <v>21028.2463890642</v>
      </c>
      <c r="AP42" s="25">
        <f>AO42/6001</f>
        <v>3.50412371089222</v>
      </c>
      <c r="AQ42" s="24"/>
      <c r="AR42" s="24"/>
      <c r="AS42" s="24"/>
      <c r="AT42" s="24"/>
      <c r="AU42" s="24"/>
      <c r="AV42" s="24"/>
      <c r="AW42" s="24"/>
      <c r="AX42" s="24"/>
    </row>
    <row r="43" s="3" customFormat="1" spans="1:50">
      <c r="A43" s="22" t="s">
        <v>81</v>
      </c>
      <c r="B43" s="16">
        <f t="shared" si="50"/>
        <v>965.0316885</v>
      </c>
      <c r="C43" s="16">
        <f t="shared" si="49"/>
        <v>878.178836535</v>
      </c>
      <c r="D43" s="16">
        <f t="shared" si="51"/>
        <v>796.1511430125</v>
      </c>
      <c r="E43" s="16">
        <f t="shared" si="52"/>
        <v>743.074400145</v>
      </c>
      <c r="F43" s="16">
        <f>B43*0.2*3.6</f>
        <v>694.82281572</v>
      </c>
      <c r="G43" s="16">
        <f>B43/6*3.6</f>
        <v>579.0190131</v>
      </c>
      <c r="H43" s="16">
        <f>B43/7*3.6</f>
        <v>496.302011228571</v>
      </c>
      <c r="I43" s="16">
        <f>B43/8*3.6</f>
        <v>434.264259825</v>
      </c>
      <c r="J43" s="16">
        <f>B43/9*3.6</f>
        <v>386.0126754</v>
      </c>
      <c r="K43" s="16">
        <f>B43/10*3.6</f>
        <v>347.41140786</v>
      </c>
      <c r="L43" s="16">
        <f>B43/11*3.6</f>
        <v>315.8285526</v>
      </c>
      <c r="M43" s="16">
        <f>B43/12*3.6</f>
        <v>289.50950655</v>
      </c>
      <c r="N43" s="16">
        <f>B43/13*3.6</f>
        <v>267.239544507692</v>
      </c>
      <c r="O43" s="16">
        <f>B43/14*3.6</f>
        <v>248.151005614286</v>
      </c>
      <c r="P43" s="16">
        <f>B43/15*3.6</f>
        <v>231.60760524</v>
      </c>
      <c r="Q43" s="16">
        <f>B43/16*3.6</f>
        <v>217.1321299125</v>
      </c>
      <c r="R43" s="16">
        <f>B43/18*3.6</f>
        <v>193.0063377</v>
      </c>
      <c r="S43" s="16">
        <f>B43/20*3.6</f>
        <v>173.70570393</v>
      </c>
      <c r="T43" s="16">
        <f>B43/26*3.6</f>
        <v>133.619772253846</v>
      </c>
      <c r="U43" s="16">
        <f>B43/30*3.6</f>
        <v>115.80380262</v>
      </c>
      <c r="V43" s="16">
        <f>B43/41*3.6</f>
        <v>84.7344897219512</v>
      </c>
      <c r="W43" s="16">
        <f>B43/51*3.6</f>
        <v>68.1198838941176</v>
      </c>
      <c r="X43" s="16">
        <f>B43/61*3.6</f>
        <v>56.9526898131148</v>
      </c>
      <c r="Y43" s="16">
        <f>B43/71*3.6</f>
        <v>48.9311842056338</v>
      </c>
      <c r="Z43" s="16">
        <f>B43/81*3.6</f>
        <v>42.8902972666667</v>
      </c>
      <c r="AA43" s="16">
        <f>B43/91*3.6</f>
        <v>38.1770777868132</v>
      </c>
      <c r="AB43" s="16">
        <f>B43/100*3.6</f>
        <v>34.741140786</v>
      </c>
      <c r="AC43" s="16">
        <f>B43/121*3.6</f>
        <v>28.7116866</v>
      </c>
      <c r="AD43" s="16">
        <f>B43/141*3.5</f>
        <v>23.9546873031915</v>
      </c>
      <c r="AE43" s="16">
        <f>B43/161*3.5</f>
        <v>20.97894975</v>
      </c>
      <c r="AF43" s="25">
        <f>B43/181*3.5</f>
        <v>18.6608337555249</v>
      </c>
      <c r="AG43" s="25">
        <f>B43/201*3.5</f>
        <v>16.8040343768657</v>
      </c>
      <c r="AH43" s="25">
        <f>B43/301*3.3</f>
        <v>10.5800816347176</v>
      </c>
      <c r="AI43" s="25">
        <f>B43/401*3.3</f>
        <v>7.94165728690773</v>
      </c>
      <c r="AJ43" s="25">
        <f>B43/501*3.1</f>
        <v>5.97125396077844</v>
      </c>
      <c r="AK43" s="25">
        <f>B43/751*3</f>
        <v>3.85498677163782</v>
      </c>
      <c r="AL43" s="25">
        <f>B43/1001*3</f>
        <v>2.89220286263736</v>
      </c>
      <c r="AM43" s="25">
        <f>B43/1501*3</f>
        <v>1.92877752531646</v>
      </c>
      <c r="AN43" s="25">
        <f>B43/2001*3</f>
        <v>1.44682412068966</v>
      </c>
      <c r="AO43" s="25">
        <f>B43/3001*2.8</f>
        <v>0.900396110563146</v>
      </c>
      <c r="AP43" s="25">
        <f>SUM(B43:P43)+2*Q43+3*R43+5*S43+5*T43+10*SUM(U43:AA43)+20*SUM(AB43:AF43)+100*SUM(AG43:AI43)+250*SUM(AJ43:AK43)+500*SUM(AL43:AM43)+1000*SUM(AN43:AO43)</f>
        <v>28066.4032748425</v>
      </c>
      <c r="AQ43" s="32">
        <f>AP43/8001</f>
        <v>3.50786192661448</v>
      </c>
      <c r="AR43" s="32"/>
      <c r="AS43" s="32"/>
      <c r="AT43" s="24"/>
      <c r="AU43" s="24"/>
      <c r="AV43" s="24"/>
      <c r="AW43" s="24"/>
      <c r="AX43" s="24"/>
    </row>
    <row r="44" s="2" customFormat="1" ht="21.6" spans="1:80">
      <c r="A44" s="19" t="s">
        <v>82</v>
      </c>
      <c r="B44" s="16">
        <f t="shared" si="50"/>
        <v>1109.786441775</v>
      </c>
      <c r="C44" s="16">
        <f t="shared" si="49"/>
        <v>1009.90566201525</v>
      </c>
      <c r="D44" s="16">
        <f t="shared" si="51"/>
        <v>915.573814464375</v>
      </c>
      <c r="E44" s="16">
        <f t="shared" si="52"/>
        <v>854.53556016675</v>
      </c>
      <c r="F44" s="16">
        <f>B44*0.2*3.6</f>
        <v>799.046238078</v>
      </c>
      <c r="G44" s="16">
        <f>B44/6*3.6</f>
        <v>665.871865065</v>
      </c>
      <c r="H44" s="16">
        <f>B44/7*3.6</f>
        <v>570.747312912857</v>
      </c>
      <c r="I44" s="16">
        <f>B44/8*3.6</f>
        <v>499.40389879875</v>
      </c>
      <c r="J44" s="16">
        <f>B44/9*3.6</f>
        <v>443.91457671</v>
      </c>
      <c r="K44" s="16">
        <f>B44/10*3.6</f>
        <v>399.523119039</v>
      </c>
      <c r="L44" s="16">
        <f>B44/11*3.6</f>
        <v>363.20283549</v>
      </c>
      <c r="M44" s="16">
        <f>B44/12*3.6</f>
        <v>332.9359325325</v>
      </c>
      <c r="N44" s="16">
        <f>B44/13*3.6</f>
        <v>307.325476183846</v>
      </c>
      <c r="O44" s="16">
        <f>B44/14*3.6</f>
        <v>285.373656456429</v>
      </c>
      <c r="P44" s="16">
        <f>B44/15*3.6</f>
        <v>266.348746026</v>
      </c>
      <c r="Q44" s="16">
        <f>B44/16*3.6</f>
        <v>249.701949399375</v>
      </c>
      <c r="R44" s="16">
        <f>B44/18*3.6</f>
        <v>221.957288355</v>
      </c>
      <c r="S44" s="16">
        <f>B44/20*3.6</f>
        <v>199.7615595195</v>
      </c>
      <c r="T44" s="16">
        <f>B44/26*3.6</f>
        <v>153.662738091923</v>
      </c>
      <c r="U44" s="16">
        <f>B44/30*3.6</f>
        <v>133.174373013</v>
      </c>
      <c r="V44" s="16">
        <f>B44/41*3.6</f>
        <v>97.4446631802439</v>
      </c>
      <c r="W44" s="16">
        <f>B44/51*3.6</f>
        <v>78.3378664782353</v>
      </c>
      <c r="X44" s="16">
        <f>B44/61*3.6</f>
        <v>65.495593285082</v>
      </c>
      <c r="Y44" s="16">
        <f>B44/71*3.6</f>
        <v>56.2708618364789</v>
      </c>
      <c r="Z44" s="16">
        <f>B44/81*3.6</f>
        <v>49.3238418566667</v>
      </c>
      <c r="AA44" s="16">
        <f>B44/91*3.6</f>
        <v>43.9036394548352</v>
      </c>
      <c r="AB44" s="16">
        <f>B44/100*3.6</f>
        <v>39.9523119039</v>
      </c>
      <c r="AC44" s="16">
        <f>B44/121*3.6</f>
        <v>33.01843959</v>
      </c>
      <c r="AD44" s="16">
        <f>B44/141*3.6</f>
        <v>28.3349729814894</v>
      </c>
      <c r="AE44" s="16">
        <f>B44/161*3.6</f>
        <v>24.8151005614286</v>
      </c>
      <c r="AF44" s="25">
        <f>B44/181*3.6</f>
        <v>22.0731004993923</v>
      </c>
      <c r="AG44" s="25">
        <f>B44/201*3.6</f>
        <v>19.8767720914925</v>
      </c>
      <c r="AH44" s="25">
        <f>B44/301*3.6</f>
        <v>13.2731933235548</v>
      </c>
      <c r="AI44" s="25">
        <f>B44/401*3.6</f>
        <v>9.96317005084788</v>
      </c>
      <c r="AJ44" s="25">
        <f>B44/501*3.6</f>
        <v>7.97451335407186</v>
      </c>
      <c r="AK44" s="25">
        <f>B44/751*3.6</f>
        <v>5.31988174486019</v>
      </c>
      <c r="AL44" s="25">
        <f>B44/1001*3.5</f>
        <v>3.88037217403846</v>
      </c>
      <c r="AM44" s="25">
        <f>B44/1501*3.5</f>
        <v>2.58777651313291</v>
      </c>
      <c r="AN44" s="25">
        <f>B44/2001*3.5</f>
        <v>1.94115569525862</v>
      </c>
      <c r="AO44" s="25">
        <f>B44/3001*3.5</f>
        <v>1.29431940893452</v>
      </c>
      <c r="AP44" s="25">
        <f>B44/4001*3.5</f>
        <v>0.970820431445264</v>
      </c>
      <c r="AQ44" s="33">
        <f>SUM(B44:P44)+2*Q44+3*R44+5*S44+5*T44+10*SUM(U44:AA44)+20*SUM(AB44:AF44)+100*SUM(AG44:AI44)+250*SUM(AJ44:AK44)+500*SUM(AL44:AM44)+1000*SUM(AN44:AP44)</f>
        <v>35034.5614899509</v>
      </c>
      <c r="AR44" s="34">
        <f>AQ44/10001</f>
        <v>3.50310583841125</v>
      </c>
      <c r="AS44" s="32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</row>
    <row r="45" spans="1:80">
      <c r="A45" s="22" t="s">
        <v>83</v>
      </c>
      <c r="B45" s="16">
        <v>1109.786441775</v>
      </c>
      <c r="C45" s="16">
        <v>1009.90566201525</v>
      </c>
      <c r="D45" s="16">
        <v>915.573814464375</v>
      </c>
      <c r="E45" s="16">
        <v>854.53556016675</v>
      </c>
      <c r="F45" s="16">
        <v>799.046238078</v>
      </c>
      <c r="G45" s="16">
        <v>665.871865065</v>
      </c>
      <c r="H45" s="16">
        <v>570.747312912857</v>
      </c>
      <c r="I45" s="16">
        <v>499.40389879875</v>
      </c>
      <c r="J45" s="16">
        <v>443.91457671</v>
      </c>
      <c r="K45" s="16">
        <v>399.523119039</v>
      </c>
      <c r="L45" s="16">
        <v>363.20283549</v>
      </c>
      <c r="M45" s="16">
        <v>332.9359325325</v>
      </c>
      <c r="N45" s="16">
        <v>307.325476183846</v>
      </c>
      <c r="O45" s="16">
        <v>285.373656456429</v>
      </c>
      <c r="P45" s="16">
        <v>266.348746026</v>
      </c>
      <c r="Q45" s="16">
        <v>249.701949399375</v>
      </c>
      <c r="R45" s="16">
        <v>221.957288355</v>
      </c>
      <c r="S45" s="16">
        <v>199.7615595195</v>
      </c>
      <c r="T45" s="16">
        <v>153.662738091923</v>
      </c>
      <c r="U45" s="16">
        <v>133.174373013</v>
      </c>
      <c r="V45" s="16">
        <v>97.4446631802439</v>
      </c>
      <c r="W45" s="16">
        <v>78.3378664782353</v>
      </c>
      <c r="X45" s="16">
        <v>65.495593285082</v>
      </c>
      <c r="Y45" s="16">
        <v>56.2708618364789</v>
      </c>
      <c r="Z45" s="16">
        <v>49.3238418566667</v>
      </c>
      <c r="AA45" s="16">
        <v>43.9036394548352</v>
      </c>
      <c r="AB45" s="16">
        <v>39.9523119039</v>
      </c>
      <c r="AC45" s="16">
        <v>33.01843959</v>
      </c>
      <c r="AD45" s="16">
        <v>28.3349729814894</v>
      </c>
      <c r="AE45" s="16">
        <v>24.8151005614286</v>
      </c>
      <c r="AF45" s="25">
        <v>22.0731004993923</v>
      </c>
      <c r="AG45" s="25">
        <v>19.8767720914925</v>
      </c>
      <c r="AH45" s="25">
        <v>13.2731933235548</v>
      </c>
      <c r="AI45" s="25">
        <v>9.96317005084788</v>
      </c>
      <c r="AJ45" s="25">
        <v>7.97451335407186</v>
      </c>
      <c r="AK45" s="25">
        <v>5.31988174486019</v>
      </c>
      <c r="AL45" s="25">
        <v>3.88037217403846</v>
      </c>
      <c r="AM45" s="25">
        <v>2.58777651313291</v>
      </c>
      <c r="AN45" s="25">
        <v>1.94115569525862</v>
      </c>
      <c r="AO45" s="25">
        <v>1.29431940893452</v>
      </c>
      <c r="AP45" s="25">
        <v>0.970820431445264</v>
      </c>
      <c r="AQ45" s="33">
        <f>SUM(B45:P45)+2*Q45+3*R45+5*S45+5*T45+10*SUM(U45:AA45)+20*SUM(AB45:AF45)+100*SUM(AG45:AI45)+250*SUM(AJ45:AK45)+500*SUM(AL45:AM45)+1000*SUM(AN45:AP45)</f>
        <v>35034.5614899509</v>
      </c>
      <c r="AR45" s="34">
        <f>AQ45/10002</f>
        <v>3.50275559787551</v>
      </c>
      <c r="AS45" s="32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</row>
    <row r="46" spans="43:50"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4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4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4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4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4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4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4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4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  <row r="68" s="5" customFormat="1" spans="1:50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4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P67"/>
  <sheetViews>
    <sheetView topLeftCell="A21" workbookViewId="0">
      <selection activeCell="C42" sqref="C42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0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'C５级比赛'!B4*30</f>
        <v>150</v>
      </c>
      <c r="C4" s="38">
        <v>150</v>
      </c>
      <c r="D4" s="15">
        <v>75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'C５级比赛'!B5*30</f>
        <v>180</v>
      </c>
      <c r="C5" s="18">
        <f>'C５级比赛'!C5*30</f>
        <v>126</v>
      </c>
      <c r="D5" s="38">
        <f>'C５级比赛'!D5*30</f>
        <v>306</v>
      </c>
      <c r="E5" s="15">
        <f>'C５级比赛'!E5*30</f>
        <v>76.5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'C５级比赛'!B6*30</f>
        <v>210</v>
      </c>
      <c r="C6" s="18">
        <f>'C５级比赛'!C6*30</f>
        <v>147</v>
      </c>
      <c r="D6" s="16">
        <f>'C５级比赛'!D6*30</f>
        <v>105</v>
      </c>
      <c r="E6" s="38">
        <f>'C５级比赛'!E6*30</f>
        <v>462</v>
      </c>
      <c r="F6" s="15">
        <f>'C５级比赛'!F6*30</f>
        <v>77.0000000000001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172">
      <c r="A7" s="17" t="s">
        <v>45</v>
      </c>
      <c r="B7" s="18">
        <f>'C５级比赛'!B7*30</f>
        <v>255</v>
      </c>
      <c r="C7" s="18">
        <f>'C５级比赛'!C7*30</f>
        <v>178.5</v>
      </c>
      <c r="D7" s="16">
        <f>'C５级比赛'!D7*30</f>
        <v>127.5</v>
      </c>
      <c r="E7" s="16">
        <f>'C５级比赛'!E7*30</f>
        <v>89.25</v>
      </c>
      <c r="F7" s="38">
        <f>'C５级比赛'!F7*30</f>
        <v>650.25</v>
      </c>
      <c r="G7" s="15">
        <f>'C５级比赛'!G7*30</f>
        <v>81.28125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</row>
    <row r="8" s="3" customFormat="1" spans="1:50">
      <c r="A8" s="19" t="s">
        <v>46</v>
      </c>
      <c r="B8" s="13">
        <f>'C５级比赛'!B8*30</f>
        <v>300</v>
      </c>
      <c r="C8" s="13">
        <f>'C５级比赛'!C8*30</f>
        <v>210</v>
      </c>
      <c r="D8" s="13">
        <f>'C５级比赛'!D8*30</f>
        <v>150</v>
      </c>
      <c r="E8" s="13">
        <f>'C５级比赛'!E8*30</f>
        <v>105</v>
      </c>
      <c r="F8" s="13">
        <f>'C５级比赛'!F8*30</f>
        <v>60</v>
      </c>
      <c r="G8" s="38">
        <f>'C５级比赛'!G8*30</f>
        <v>825</v>
      </c>
      <c r="H8" s="15">
        <f>'C５级比赛'!H8*30</f>
        <v>82.5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172">
      <c r="A9" s="17" t="s">
        <v>47</v>
      </c>
      <c r="B9" s="18">
        <f>'C５级比赛'!B9*30</f>
        <v>360</v>
      </c>
      <c r="C9" s="18">
        <f>'C５级比赛'!C9*30</f>
        <v>252</v>
      </c>
      <c r="D9" s="16">
        <f>'C５级比赛'!D9*30</f>
        <v>180</v>
      </c>
      <c r="E9" s="16">
        <f>'C５级比赛'!E9*30</f>
        <v>126</v>
      </c>
      <c r="F9" s="16">
        <f>'C５级比赛'!F9*30</f>
        <v>72</v>
      </c>
      <c r="G9" s="16">
        <f>'C５级比赛'!G9*30</f>
        <v>60</v>
      </c>
      <c r="H9" s="38">
        <f>'C５级比赛'!H9*30</f>
        <v>1050</v>
      </c>
      <c r="I9" s="15">
        <f>'C５级比赛'!I9*30</f>
        <v>87.5000000000001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</row>
    <row r="10" spans="1:172">
      <c r="A10" s="20" t="s">
        <v>48</v>
      </c>
      <c r="B10" s="18">
        <f>'C５级比赛'!B10*30</f>
        <v>405</v>
      </c>
      <c r="C10" s="18">
        <f>'C５级比赛'!C10*30</f>
        <v>283.5</v>
      </c>
      <c r="D10" s="16">
        <f>'C５级比赛'!D10*30</f>
        <v>202.5</v>
      </c>
      <c r="E10" s="16">
        <f>'C５级比赛'!E10*30</f>
        <v>141.75</v>
      </c>
      <c r="F10" s="16">
        <f>'C５级比赛'!F10*30</f>
        <v>81</v>
      </c>
      <c r="G10" s="16">
        <f>'C５级比赛'!G10*30</f>
        <v>67.5</v>
      </c>
      <c r="H10" s="16">
        <f>'C５级比赛'!H10*30</f>
        <v>57.8571428571429</v>
      </c>
      <c r="I10" s="38">
        <f>'C５级比赛'!I10*30</f>
        <v>1239.10714285714</v>
      </c>
      <c r="J10" s="15">
        <f>'C５级比赛'!J10*30</f>
        <v>88.5076530612246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</row>
    <row r="11" spans="1:172">
      <c r="A11" s="20" t="s">
        <v>49</v>
      </c>
      <c r="B11" s="18">
        <f>'C５级比赛'!B11*30</f>
        <v>465</v>
      </c>
      <c r="C11" s="18">
        <f>'C５级比赛'!C11*30</f>
        <v>325.5</v>
      </c>
      <c r="D11" s="16">
        <f>'C５级比赛'!D11*30</f>
        <v>232.5</v>
      </c>
      <c r="E11" s="16">
        <f>'C５级比赛'!E11*30</f>
        <v>162.75</v>
      </c>
      <c r="F11" s="16">
        <f>'C５级比赛'!F11*30</f>
        <v>93</v>
      </c>
      <c r="G11" s="16">
        <f>'C５级比赛'!G11*30</f>
        <v>77.4999999999999</v>
      </c>
      <c r="H11" s="16">
        <f>'C５级比赛'!H11*30</f>
        <v>66.4285714285713</v>
      </c>
      <c r="I11" s="16">
        <f>'C５级比赛'!I11*30</f>
        <v>58.125</v>
      </c>
      <c r="J11" s="38">
        <f>'C５级比赛'!J11*30</f>
        <v>1480.80357142857</v>
      </c>
      <c r="K11" s="15">
        <f>'C５级比赛'!K11*30</f>
        <v>92.5502232142857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</row>
    <row r="12" spans="1:172">
      <c r="A12" s="20" t="s">
        <v>50</v>
      </c>
      <c r="B12" s="18">
        <f>'C５级比赛'!B12*30</f>
        <v>510</v>
      </c>
      <c r="C12" s="18">
        <f>'C５级比赛'!C12*30</f>
        <v>357</v>
      </c>
      <c r="D12" s="16">
        <f>'C５级比赛'!D12*30</f>
        <v>255</v>
      </c>
      <c r="E12" s="16">
        <f>'C５级比赛'!E12*30</f>
        <v>178.5</v>
      </c>
      <c r="F12" s="16">
        <f>'C５级比赛'!F12*30</f>
        <v>102</v>
      </c>
      <c r="G12" s="16">
        <f>'C５级比赛'!G12*30</f>
        <v>84.9999999999999</v>
      </c>
      <c r="H12" s="16">
        <f>'C５级比赛'!H12*30</f>
        <v>72.8571428571429</v>
      </c>
      <c r="I12" s="16">
        <f>'C５级比赛'!I12*30</f>
        <v>63.75</v>
      </c>
      <c r="J12" s="16">
        <f>'C５级比赛'!J12*30</f>
        <v>56.6666666666667</v>
      </c>
      <c r="K12" s="38">
        <f>'C５级比赛'!K12*30</f>
        <v>1680.77380952381</v>
      </c>
      <c r="L12" s="15">
        <f>'C５级比赛'!L12*30</f>
        <v>93.3763227513228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</row>
    <row r="13" s="3" customFormat="1" spans="1:50">
      <c r="A13" s="21" t="s">
        <v>51</v>
      </c>
      <c r="B13" s="18">
        <f>'C５级比赛'!B13*30</f>
        <v>555</v>
      </c>
      <c r="C13" s="18">
        <f>'C５级比赛'!C13*30</f>
        <v>388.5</v>
      </c>
      <c r="D13" s="16">
        <f>'C５级比赛'!D13*30</f>
        <v>277.5</v>
      </c>
      <c r="E13" s="16">
        <f>'C５级比赛'!E13*30</f>
        <v>194.25</v>
      </c>
      <c r="F13" s="16">
        <f>'C５级比赛'!F13*30</f>
        <v>111</v>
      </c>
      <c r="G13" s="16">
        <f>'C５级比赛'!G13*30</f>
        <v>92.4999999999999</v>
      </c>
      <c r="H13" s="16">
        <f>'C５级比赛'!H13*30</f>
        <v>79.2857142857142</v>
      </c>
      <c r="I13" s="16">
        <f>'C５级比赛'!I13*30</f>
        <v>69.375</v>
      </c>
      <c r="J13" s="16">
        <f>'C５级比赛'!J13*30</f>
        <v>61.6666666666668</v>
      </c>
      <c r="K13" s="16">
        <f>'C５级比赛'!K13*30</f>
        <v>55.5</v>
      </c>
      <c r="L13" s="38">
        <f>'C５级比赛'!L13*30</f>
        <v>1884.57738095238</v>
      </c>
      <c r="M13" s="15">
        <f>'C５级比赛'!M13*30</f>
        <v>94.228869047619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72">
      <c r="A14" s="20" t="s">
        <v>52</v>
      </c>
      <c r="B14" s="18">
        <f>'C５级比赛'!B14*30</f>
        <v>600</v>
      </c>
      <c r="C14" s="18">
        <f>'C５级比赛'!C14*30</f>
        <v>420</v>
      </c>
      <c r="D14" s="16">
        <f>'C５级比赛'!D14*30</f>
        <v>300</v>
      </c>
      <c r="E14" s="16">
        <f>'C５级比赛'!E14*30</f>
        <v>210</v>
      </c>
      <c r="F14" s="16">
        <f>'C５级比赛'!F14*30</f>
        <v>120</v>
      </c>
      <c r="G14" s="16">
        <f>'C５级比赛'!G14*30</f>
        <v>99.9999999999999</v>
      </c>
      <c r="H14" s="16">
        <f>'C５级比赛'!H14*30</f>
        <v>85.7142857142858</v>
      </c>
      <c r="I14" s="16">
        <f>'C５级比赛'!I14*30</f>
        <v>75</v>
      </c>
      <c r="J14" s="16">
        <f>'C５级比赛'!J14*30</f>
        <v>66.6666666666666</v>
      </c>
      <c r="K14" s="16">
        <f>'C５级比赛'!K14*30</f>
        <v>60</v>
      </c>
      <c r="L14" s="16">
        <f>'C５级比赛'!L14*30</f>
        <v>54.5454545454546</v>
      </c>
      <c r="M14" s="38">
        <f>'C５级比赛'!M14*30</f>
        <v>2091.92640692641</v>
      </c>
      <c r="N14" s="15">
        <f>'C５级比赛'!N14*30</f>
        <v>95.0875639512003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72">
      <c r="A15" s="20" t="s">
        <v>53</v>
      </c>
      <c r="B15" s="18">
        <f>'C５级比赛'!B15*30</f>
        <v>645</v>
      </c>
      <c r="C15" s="18">
        <f>'C５级比赛'!C15*30</f>
        <v>451.5</v>
      </c>
      <c r="D15" s="16">
        <f>'C５级比赛'!D15*30</f>
        <v>322.5</v>
      </c>
      <c r="E15" s="16">
        <f>'C５级比赛'!E15*30</f>
        <v>225.75</v>
      </c>
      <c r="F15" s="16">
        <f>'C５级比赛'!F15*30</f>
        <v>129</v>
      </c>
      <c r="G15" s="16">
        <f>'C５级比赛'!G15*30</f>
        <v>107.5</v>
      </c>
      <c r="H15" s="16">
        <f>'C５级比赛'!H15*30</f>
        <v>92.1428571428572</v>
      </c>
      <c r="I15" s="16">
        <f>'C５级比赛'!I15*30</f>
        <v>80.625</v>
      </c>
      <c r="J15" s="16">
        <f>'C５级比赛'!J15*30</f>
        <v>71.6666666666667</v>
      </c>
      <c r="K15" s="16">
        <f>'C５级比赛'!K15*30</f>
        <v>64.5</v>
      </c>
      <c r="L15" s="16">
        <f>'C５级比赛'!L15*30</f>
        <v>58.6363636363635</v>
      </c>
      <c r="M15" s="16">
        <f>'C５级比赛'!M15*30</f>
        <v>53.7500000000001</v>
      </c>
      <c r="N15" s="38">
        <f>'C５级比赛'!N15*30</f>
        <v>2302.57088744589</v>
      </c>
      <c r="O15" s="15">
        <f>'C５级比赛'!O15*30</f>
        <v>95.9404536435786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72">
      <c r="A16" s="20" t="s">
        <v>54</v>
      </c>
      <c r="B16" s="18">
        <f>'C５级比赛'!B16*30</f>
        <v>684</v>
      </c>
      <c r="C16" s="18">
        <f>'C５级比赛'!C16*30</f>
        <v>478.8</v>
      </c>
      <c r="D16" s="16">
        <f>'C５级比赛'!D16*30</f>
        <v>342</v>
      </c>
      <c r="E16" s="16">
        <f>'C５级比赛'!E16*30</f>
        <v>239.4</v>
      </c>
      <c r="F16" s="16">
        <f>'C５级比赛'!F16*30</f>
        <v>136.8</v>
      </c>
      <c r="G16" s="16">
        <f>'C５级比赛'!G16*30</f>
        <v>114</v>
      </c>
      <c r="H16" s="16">
        <f>'C５级比赛'!H16*30</f>
        <v>97.7142857142857</v>
      </c>
      <c r="I16" s="16">
        <f>'C５级比赛'!I16*30</f>
        <v>85.5</v>
      </c>
      <c r="J16" s="16">
        <f>'C５级比赛'!J16*30</f>
        <v>75.9999999999999</v>
      </c>
      <c r="K16" s="16">
        <f>'C５级比赛'!K16*30</f>
        <v>68.4</v>
      </c>
      <c r="L16" s="16">
        <f>'C５级比赛'!L16*30</f>
        <v>62.1818181818181</v>
      </c>
      <c r="M16" s="16">
        <f>'C５级比赛'!M16*30</f>
        <v>57</v>
      </c>
      <c r="N16" s="16">
        <f>'C５级比赛'!N16*30</f>
        <v>52.6153846153845</v>
      </c>
      <c r="O16" s="38">
        <f>'C５级比赛'!O16*30</f>
        <v>2494.41148851149</v>
      </c>
      <c r="P16" s="15">
        <f>'C５级比赛'!P16*30</f>
        <v>95.938903404288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</row>
    <row r="17" spans="1:172">
      <c r="A17" s="20" t="s">
        <v>55</v>
      </c>
      <c r="B17" s="18">
        <f>'C５级比赛'!B17*30</f>
        <v>732</v>
      </c>
      <c r="C17" s="18">
        <f>'C５级比赛'!C17*30</f>
        <v>512.4</v>
      </c>
      <c r="D17" s="16">
        <f>'C５级比赛'!D17*30</f>
        <v>366</v>
      </c>
      <c r="E17" s="16">
        <f>'C５级比赛'!E17*30</f>
        <v>256.2</v>
      </c>
      <c r="F17" s="16">
        <f>'C５级比赛'!F17*30</f>
        <v>146.4</v>
      </c>
      <c r="G17" s="16">
        <f>'C５级比赛'!G17*30</f>
        <v>122</v>
      </c>
      <c r="H17" s="16">
        <f>'C５级比赛'!H17*30</f>
        <v>104.571428571429</v>
      </c>
      <c r="I17" s="16">
        <f>'C５级比赛'!I17*30</f>
        <v>91.5</v>
      </c>
      <c r="J17" s="16">
        <f>'C５级比赛'!J17*30</f>
        <v>81.3333333333333</v>
      </c>
      <c r="K17" s="16">
        <f>'C５级比赛'!K17*30</f>
        <v>73.2</v>
      </c>
      <c r="L17" s="16">
        <f>'C５级比赛'!L17*30</f>
        <v>66.5454545454546</v>
      </c>
      <c r="M17" s="16">
        <f>'C５级比赛'!M17*30</f>
        <v>60.9999999999999</v>
      </c>
      <c r="N17" s="16">
        <f>'C５级比赛'!N17*30</f>
        <v>56.3076923076924</v>
      </c>
      <c r="O17" s="16">
        <f>'C５级比赛'!O17*30</f>
        <v>52.2857142857142</v>
      </c>
      <c r="P17" s="38">
        <f>'C５级比赛'!P17*30</f>
        <v>2721.74362304362</v>
      </c>
      <c r="Q17" s="15">
        <f>'C５级比赛'!Q17*30</f>
        <v>97.2051293944151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</row>
    <row r="18" spans="1:172">
      <c r="A18" s="20" t="s">
        <v>56</v>
      </c>
      <c r="B18" s="18">
        <f>'C５级比赛'!B18*30</f>
        <v>780</v>
      </c>
      <c r="C18" s="18">
        <f>'C５级比赛'!C18*30</f>
        <v>546</v>
      </c>
      <c r="D18" s="16">
        <f>'C５级比赛'!D18*30</f>
        <v>390</v>
      </c>
      <c r="E18" s="16">
        <f>'C５级比赛'!E18*30</f>
        <v>273</v>
      </c>
      <c r="F18" s="16">
        <f>'C５级比赛'!F18*30</f>
        <v>156</v>
      </c>
      <c r="G18" s="16">
        <f>'C５级比赛'!G18*30</f>
        <v>130</v>
      </c>
      <c r="H18" s="16">
        <f>'C５级比赛'!H18*30</f>
        <v>111.428571428571</v>
      </c>
      <c r="I18" s="16">
        <f>'C５级比赛'!I18*30</f>
        <v>97.5</v>
      </c>
      <c r="J18" s="16">
        <f>'C５级比赛'!J18*30</f>
        <v>86.6666666666667</v>
      </c>
      <c r="K18" s="16">
        <f>'C５级比赛'!K18*30</f>
        <v>78</v>
      </c>
      <c r="L18" s="16">
        <f>'C５级比赛'!L18*30</f>
        <v>70.9090909090908</v>
      </c>
      <c r="M18" s="16">
        <f>'C５级比赛'!M18*30</f>
        <v>65.0000000000001</v>
      </c>
      <c r="N18" s="16">
        <f>'C５级比赛'!N18*30</f>
        <v>60</v>
      </c>
      <c r="O18" s="16">
        <f>'C５级比赛'!O18*30</f>
        <v>55.7142857142858</v>
      </c>
      <c r="P18" s="16">
        <f>'C５级比赛'!P18*30</f>
        <v>51.9999999999999</v>
      </c>
      <c r="Q18" s="38">
        <f>'C５级比赛'!Q18*30</f>
        <v>2952.21861471861</v>
      </c>
      <c r="R18" s="15">
        <f>'C５级比赛'!R18*30</f>
        <v>98.4072871572871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</row>
    <row r="19" spans="1:172">
      <c r="A19" s="20" t="s">
        <v>57</v>
      </c>
      <c r="B19" s="18">
        <f>'C５级比赛'!B19*30</f>
        <v>885</v>
      </c>
      <c r="C19" s="18">
        <f>'C５级比赛'!C19*30</f>
        <v>619.5</v>
      </c>
      <c r="D19" s="16">
        <f>'C５级比赛'!D19*30</f>
        <v>442.5</v>
      </c>
      <c r="E19" s="16">
        <f>'C５级比赛'!E19*30</f>
        <v>309.75</v>
      </c>
      <c r="F19" s="16">
        <f>'C５级比赛'!F19*30</f>
        <v>177</v>
      </c>
      <c r="G19" s="16">
        <f>'C５级比赛'!G19*30</f>
        <v>147.5</v>
      </c>
      <c r="H19" s="16">
        <f>'C５级比赛'!H19*30</f>
        <v>126.428571428571</v>
      </c>
      <c r="I19" s="16">
        <f>'C５级比赛'!I19*30</f>
        <v>110.625</v>
      </c>
      <c r="J19" s="16">
        <f>'C５级比赛'!J19*30</f>
        <v>98.3333333333334</v>
      </c>
      <c r="K19" s="16">
        <f>'C５级比赛'!K19*30</f>
        <v>88.5</v>
      </c>
      <c r="L19" s="16">
        <f>'C５级比赛'!L19*30</f>
        <v>80.4545454545454</v>
      </c>
      <c r="M19" s="16">
        <f>'C５级比赛'!M19*30</f>
        <v>73.7499999999999</v>
      </c>
      <c r="N19" s="16">
        <f>'C５级比赛'!N19*30</f>
        <v>68.0769230769231</v>
      </c>
      <c r="O19" s="16">
        <f>'C５级比赛'!O19*30</f>
        <v>63.2142857142858</v>
      </c>
      <c r="P19" s="16">
        <f>'C５级比赛'!P19*30</f>
        <v>59.0000000000001</v>
      </c>
      <c r="Q19" s="16">
        <f>'C５级比赛'!Q19*30</f>
        <v>55.3125</v>
      </c>
      <c r="R19" s="38">
        <f>'C５级比赛'!R19*30</f>
        <v>3460.25765900766</v>
      </c>
      <c r="S19" s="15">
        <f>'C５级比赛'!S19*30</f>
        <v>98.864504543076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</row>
    <row r="20" spans="1:172">
      <c r="A20" s="20" t="s">
        <v>58</v>
      </c>
      <c r="B20" s="18">
        <f>'C５级比赛'!B20*30</f>
        <v>1005</v>
      </c>
      <c r="C20" s="18">
        <f>'C５级比赛'!C20*30</f>
        <v>703.5</v>
      </c>
      <c r="D20" s="16">
        <f>'C５级比赛'!D20*30</f>
        <v>502.5</v>
      </c>
      <c r="E20" s="16">
        <f>'C５级比赛'!E20*30</f>
        <v>351.75</v>
      </c>
      <c r="F20" s="16">
        <f>'C５级比赛'!F20*30</f>
        <v>201</v>
      </c>
      <c r="G20" s="16">
        <f>'C５级比赛'!G20*30</f>
        <v>167.5</v>
      </c>
      <c r="H20" s="16">
        <f>'C５级比赛'!H20*30</f>
        <v>143.571428571429</v>
      </c>
      <c r="I20" s="16">
        <f>'C５级比赛'!I20*30</f>
        <v>125.625</v>
      </c>
      <c r="J20" s="16">
        <f>'C５级比赛'!J20*30</f>
        <v>111.666666666667</v>
      </c>
      <c r="K20" s="16">
        <f>'C５级比赛'!K20*30</f>
        <v>100.5</v>
      </c>
      <c r="L20" s="16">
        <f>'C５级比赛'!L20*30</f>
        <v>91.3636363636365</v>
      </c>
      <c r="M20" s="16">
        <f>'C５级比赛'!M20*30</f>
        <v>83.7500000000001</v>
      </c>
      <c r="N20" s="16">
        <f>'C５级比赛'!N20*30</f>
        <v>77.3076923076924</v>
      </c>
      <c r="O20" s="16">
        <f>'C５级比赛'!O20*30</f>
        <v>71.7857142857142</v>
      </c>
      <c r="P20" s="16">
        <f>'C５级比赛'!P20*30</f>
        <v>66.9999999999999</v>
      </c>
      <c r="Q20" s="16">
        <f>'C５级比赛'!Q20*30</f>
        <v>62.8125</v>
      </c>
      <c r="R20" s="16">
        <f>'C５级比赛'!R20*30</f>
        <v>55.8333333333333</v>
      </c>
      <c r="S20" s="38">
        <f>'C５级比赛'!S20*30</f>
        <v>4096.94513819514</v>
      </c>
      <c r="T20" s="15">
        <f>'C５级比赛'!T20*30</f>
        <v>99.9254911754912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</row>
    <row r="21" spans="1:172">
      <c r="A21" s="20" t="s">
        <v>59</v>
      </c>
      <c r="B21" s="18">
        <f>'C５级比赛'!B21*30</f>
        <v>1179</v>
      </c>
      <c r="C21" s="18">
        <f>'C５级比赛'!C21*30</f>
        <v>828</v>
      </c>
      <c r="D21" s="16">
        <f>'C５级比赛'!D21*30</f>
        <v>589.5</v>
      </c>
      <c r="E21" s="16">
        <f>'C５级比赛'!E21*30</f>
        <v>412.65</v>
      </c>
      <c r="F21" s="16">
        <f>'C５级比赛'!F21*30</f>
        <v>235.8</v>
      </c>
      <c r="G21" s="16">
        <f>'C５级比赛'!G21*30</f>
        <v>196.5</v>
      </c>
      <c r="H21" s="16">
        <f>'C５级比赛'!H21*30</f>
        <v>168.428571428571</v>
      </c>
      <c r="I21" s="16">
        <f>'C５级比赛'!I21*30</f>
        <v>147.375</v>
      </c>
      <c r="J21" s="16">
        <f>'C５级比赛'!J21*30</f>
        <v>131</v>
      </c>
      <c r="K21" s="16">
        <f>'C５级比赛'!K21*30</f>
        <v>117.9</v>
      </c>
      <c r="L21" s="16">
        <f>'C５级比赛'!L21*30</f>
        <v>107.181818181818</v>
      </c>
      <c r="M21" s="16">
        <f>'C５级比赛'!M21*30</f>
        <v>98.25</v>
      </c>
      <c r="N21" s="16">
        <f>'C５级比赛'!N21*30</f>
        <v>90.6923076923076</v>
      </c>
      <c r="O21" s="16">
        <f>'C５级比赛'!O21*30</f>
        <v>84.2142857142858</v>
      </c>
      <c r="P21" s="16">
        <f>'C５级比赛'!P21*30</f>
        <v>78.6</v>
      </c>
      <c r="Q21" s="16">
        <f>'C５级比赛'!Q21*30</f>
        <v>73.6875</v>
      </c>
      <c r="R21" s="16">
        <f>'C５级比赛'!R21*30</f>
        <v>65.5</v>
      </c>
      <c r="S21" s="16">
        <f>'C５级比赛'!S21*30</f>
        <v>58.95</v>
      </c>
      <c r="T21" s="38">
        <f>'C５级比赛'!T21*30</f>
        <v>5103.71698301698</v>
      </c>
      <c r="U21" s="15">
        <f>'C５级比赛'!U21*30</f>
        <v>100.072882019941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72">
      <c r="A22" s="17" t="s">
        <v>60</v>
      </c>
      <c r="B22" s="18">
        <f>'C５级比赛'!B22*30</f>
        <v>1356</v>
      </c>
      <c r="C22" s="18">
        <f>'C５级比赛'!C22*30</f>
        <v>949.2</v>
      </c>
      <c r="D22" s="16">
        <f>'C５级比赛'!D22*30</f>
        <v>678</v>
      </c>
      <c r="E22" s="16">
        <f>'C５级比赛'!E22*30</f>
        <v>474.6</v>
      </c>
      <c r="F22" s="16">
        <f>'C５级比赛'!F22*30</f>
        <v>271.2</v>
      </c>
      <c r="G22" s="16">
        <f>'C５级比赛'!G22*30</f>
        <v>226</v>
      </c>
      <c r="H22" s="16">
        <f>'C５级比赛'!H22*30</f>
        <v>193.714285714286</v>
      </c>
      <c r="I22" s="16">
        <f>'C５级比赛'!I22*30</f>
        <v>169.5</v>
      </c>
      <c r="J22" s="16">
        <f>'C５级比赛'!J22*30</f>
        <v>150.666666666667</v>
      </c>
      <c r="K22" s="16">
        <f>'C５级比赛'!K22*30</f>
        <v>135.6</v>
      </c>
      <c r="L22" s="16">
        <f>'C５级比赛'!L22*30</f>
        <v>123.272727272727</v>
      </c>
      <c r="M22" s="16">
        <f>'C５级比赛'!M22*30</f>
        <v>113</v>
      </c>
      <c r="N22" s="16">
        <f>'C５级比赛'!N22*30</f>
        <v>104.307692307692</v>
      </c>
      <c r="O22" s="16">
        <f>'C５级比赛'!O22*30</f>
        <v>96.8571428571429</v>
      </c>
      <c r="P22" s="16">
        <f>'C５级比赛'!P22*30</f>
        <v>90.3999999999999</v>
      </c>
      <c r="Q22" s="16">
        <f>'C５级比赛'!Q22*30</f>
        <v>84.75</v>
      </c>
      <c r="R22" s="16">
        <f>'C５级比赛'!R22*30</f>
        <v>75.3333333333333</v>
      </c>
      <c r="S22" s="16">
        <f>'C５级比赛'!S22*30</f>
        <v>67.8</v>
      </c>
      <c r="T22" s="16">
        <f>'C５级比赛'!T22*30</f>
        <v>52.1538461538462</v>
      </c>
      <c r="U22" s="38">
        <f>'C５级比赛'!U22*30</f>
        <v>6127.58774558775</v>
      </c>
      <c r="V22" s="15">
        <f>'C５级比赛'!V22*30</f>
        <v>100.452258124389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72">
      <c r="A23" s="17" t="s">
        <v>61</v>
      </c>
      <c r="B23" s="18">
        <f>'C５级比赛'!B23*30</f>
        <v>1680</v>
      </c>
      <c r="C23" s="18">
        <f>'C５级比赛'!C23*30</f>
        <v>1176</v>
      </c>
      <c r="D23" s="16">
        <f>'C５级比赛'!D23*30</f>
        <v>840</v>
      </c>
      <c r="E23" s="16">
        <f>'C５级比赛'!E23*30</f>
        <v>588</v>
      </c>
      <c r="F23" s="16">
        <f>'C５级比赛'!F23*30</f>
        <v>336</v>
      </c>
      <c r="G23" s="16">
        <f>'C５级比赛'!G23*30</f>
        <v>280</v>
      </c>
      <c r="H23" s="16">
        <f>'C５级比赛'!H23*30</f>
        <v>240</v>
      </c>
      <c r="I23" s="16">
        <f>'C５级比赛'!I23*30</f>
        <v>210</v>
      </c>
      <c r="J23" s="16">
        <f>'C５级比赛'!J23*30</f>
        <v>186.666666666667</v>
      </c>
      <c r="K23" s="16">
        <f>'C５级比赛'!K23*30</f>
        <v>168</v>
      </c>
      <c r="L23" s="16">
        <f>'C５级比赛'!L23*30</f>
        <v>152.727272727273</v>
      </c>
      <c r="M23" s="16">
        <f>'C５级比赛'!M23*30</f>
        <v>140</v>
      </c>
      <c r="N23" s="16">
        <f>'C５级比赛'!N23*30</f>
        <v>129.230769230769</v>
      </c>
      <c r="O23" s="16">
        <f>'C５级比赛'!O23*30</f>
        <v>120</v>
      </c>
      <c r="P23" s="16">
        <f>'C５级比赛'!P23*30</f>
        <v>112</v>
      </c>
      <c r="Q23" s="16">
        <f>'C５级比赛'!Q23*30</f>
        <v>105</v>
      </c>
      <c r="R23" s="16">
        <f>'C５级比赛'!R23*30</f>
        <v>93.3333333333333</v>
      </c>
      <c r="S23" s="16">
        <f>'C５级比赛'!S23*30</f>
        <v>84</v>
      </c>
      <c r="T23" s="16">
        <f>'C５级比赛'!T23*30</f>
        <v>64.6153846153845</v>
      </c>
      <c r="U23" s="16">
        <f>'C５级比赛'!U23*30</f>
        <v>56.0000000000001</v>
      </c>
      <c r="V23" s="38">
        <f>'C５级比赛'!V23*30</f>
        <v>8151.70163170163</v>
      </c>
      <c r="W23" s="15">
        <f>'C５级比赛'!W23*30</f>
        <v>100.638291749403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</row>
    <row r="24" s="2" customFormat="1" spans="1:172">
      <c r="A24" s="19" t="s">
        <v>62</v>
      </c>
      <c r="B24" s="13">
        <f>'C５级比赛'!B24*30</f>
        <v>2070</v>
      </c>
      <c r="C24" s="13">
        <f>'C５级比赛'!C24*30</f>
        <v>1449</v>
      </c>
      <c r="D24" s="13">
        <f>'C５级比赛'!D24*30</f>
        <v>1035</v>
      </c>
      <c r="E24" s="13">
        <f>'C５级比赛'!E24*30</f>
        <v>724.5</v>
      </c>
      <c r="F24" s="13">
        <f>'C５级比赛'!F24*30</f>
        <v>414</v>
      </c>
      <c r="G24" s="13">
        <f>'C５级比赛'!G24*30</f>
        <v>345</v>
      </c>
      <c r="H24" s="13">
        <f>'C５级比赛'!H24*30</f>
        <v>295.714285714286</v>
      </c>
      <c r="I24" s="13">
        <f>'C５级比赛'!I24*30</f>
        <v>258.75</v>
      </c>
      <c r="J24" s="13">
        <f>'C５级比赛'!J24*30</f>
        <v>230</v>
      </c>
      <c r="K24" s="13">
        <f>'C５级比赛'!K24*30</f>
        <v>207</v>
      </c>
      <c r="L24" s="13">
        <f>'C５级比赛'!L24*30</f>
        <v>188.181818181818</v>
      </c>
      <c r="M24" s="13">
        <f>'C５级比赛'!M24*30</f>
        <v>172.5</v>
      </c>
      <c r="N24" s="13">
        <f>'C５级比赛'!N24*30</f>
        <v>159.230769230769</v>
      </c>
      <c r="O24" s="13">
        <f>'C５级比赛'!O24*30</f>
        <v>147.857142857143</v>
      </c>
      <c r="P24" s="13">
        <f>'C５级比赛'!P24*30</f>
        <v>138</v>
      </c>
      <c r="Q24" s="13">
        <f>'C５级比赛'!Q24*30</f>
        <v>129.375</v>
      </c>
      <c r="R24" s="13">
        <f>'C５级比赛'!R24*30</f>
        <v>115</v>
      </c>
      <c r="S24" s="13">
        <f>'C５级比赛'!S24*30</f>
        <v>103.5</v>
      </c>
      <c r="T24" s="13">
        <f>'C５级比赛'!T24*30</f>
        <v>79.6153846153845</v>
      </c>
      <c r="U24" s="13">
        <f>'C５级比赛'!U24*30</f>
        <v>69</v>
      </c>
      <c r="V24" s="13">
        <f>'C５级比赛'!V24*30</f>
        <v>50.4878048780488</v>
      </c>
      <c r="W24" s="38">
        <f>'C５级比赛'!W24*30</f>
        <v>10548.9389878414</v>
      </c>
      <c r="X24" s="15">
        <f>'C５级比赛'!X24*30</f>
        <v>104.444940473678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  <c r="AR24" s="24"/>
      <c r="AS24" s="24"/>
      <c r="AT24" s="24"/>
      <c r="AU24" s="24"/>
      <c r="AV24" s="24"/>
      <c r="AW24" s="24"/>
      <c r="AX24" s="24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</row>
    <row r="25" spans="1:172">
      <c r="A25" s="22" t="s">
        <v>63</v>
      </c>
      <c r="B25" s="16">
        <f>'C５级比赛'!B25*30</f>
        <v>2388</v>
      </c>
      <c r="C25" s="16">
        <f>'C５级比赛'!C25*30</f>
        <v>1671.6</v>
      </c>
      <c r="D25" s="16">
        <f>'C５级比赛'!D25*30</f>
        <v>1194</v>
      </c>
      <c r="E25" s="16">
        <f>'C５级比赛'!E25*30</f>
        <v>835.8</v>
      </c>
      <c r="F25" s="16">
        <f>'C５级比赛'!F25*30</f>
        <v>477.6</v>
      </c>
      <c r="G25" s="16">
        <f>'C５级比赛'!G25*30</f>
        <v>398</v>
      </c>
      <c r="H25" s="16">
        <f>'C５级比赛'!H25*30</f>
        <v>341.142857142857</v>
      </c>
      <c r="I25" s="16">
        <f>'C５级比赛'!I25*30</f>
        <v>298.5</v>
      </c>
      <c r="J25" s="16">
        <f>'C５级比赛'!J25*30</f>
        <v>265.333333333333</v>
      </c>
      <c r="K25" s="16">
        <f>'C５级比赛'!K25*30</f>
        <v>238.8</v>
      </c>
      <c r="L25" s="16">
        <f>'C５级比赛'!L25*30</f>
        <v>217.090909090909</v>
      </c>
      <c r="M25" s="16">
        <f>'C５级比赛'!M25*30</f>
        <v>199</v>
      </c>
      <c r="N25" s="16">
        <f>'C５级比赛'!N25*30</f>
        <v>183.692307692308</v>
      </c>
      <c r="O25" s="16">
        <f>'C５级比赛'!O25*30</f>
        <v>170.571428571429</v>
      </c>
      <c r="P25" s="16">
        <f>'C５级比赛'!P25*30</f>
        <v>159.2</v>
      </c>
      <c r="Q25" s="16">
        <f>'C５级比赛'!Q25*30</f>
        <v>149.25</v>
      </c>
      <c r="R25" s="16">
        <f>'C５级比赛'!R25*30</f>
        <v>132.666666666667</v>
      </c>
      <c r="S25" s="16">
        <f>'C５级比赛'!S25*30</f>
        <v>119.4</v>
      </c>
      <c r="T25" s="16">
        <f>'C５级比赛'!T25*30</f>
        <v>91.8461538461538</v>
      </c>
      <c r="U25" s="16">
        <f>'C５级比赛'!U25*30</f>
        <v>79.6</v>
      </c>
      <c r="V25" s="16">
        <f>'C５级比赛'!V25*30</f>
        <v>58.2439024390244</v>
      </c>
      <c r="W25" s="16">
        <f>'C５级比赛'!W25*30</f>
        <v>46.8235294117647</v>
      </c>
      <c r="X25" s="38">
        <f>'C５级比赛'!X25*30</f>
        <v>12637.7359235695</v>
      </c>
      <c r="Y25" s="15">
        <f>'C５级比赛'!Y25*30</f>
        <v>104.444098541897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</row>
    <row r="26" spans="1:172">
      <c r="A26" s="22" t="s">
        <v>64</v>
      </c>
      <c r="B26" s="16">
        <f>'C５级比赛'!B26*30</f>
        <v>2700</v>
      </c>
      <c r="C26" s="16">
        <f>'C５级比赛'!C26*30</f>
        <v>1890</v>
      </c>
      <c r="D26" s="16">
        <f>'C５级比赛'!D26*30</f>
        <v>1350</v>
      </c>
      <c r="E26" s="16">
        <f>'C５级比赛'!E26*30</f>
        <v>945</v>
      </c>
      <c r="F26" s="16">
        <f>'C５级比赛'!F26*30</f>
        <v>540</v>
      </c>
      <c r="G26" s="16">
        <f>'C５级比赛'!G26*30</f>
        <v>450</v>
      </c>
      <c r="H26" s="16">
        <f>'C５级比赛'!H26*30</f>
        <v>385.714285714286</v>
      </c>
      <c r="I26" s="16">
        <f>'C５级比赛'!I26*30</f>
        <v>337.5</v>
      </c>
      <c r="J26" s="16">
        <f>'C５级比赛'!J26*30</f>
        <v>300</v>
      </c>
      <c r="K26" s="16">
        <f>'C５级比赛'!K26*30</f>
        <v>270</v>
      </c>
      <c r="L26" s="16">
        <f>'C５级比赛'!L26*30</f>
        <v>245.454545454545</v>
      </c>
      <c r="M26" s="16">
        <f>'C５级比赛'!M26*30</f>
        <v>225</v>
      </c>
      <c r="N26" s="16">
        <f>'C５级比赛'!N26*30</f>
        <v>207.692307692308</v>
      </c>
      <c r="O26" s="16">
        <f>'C５级比赛'!O26*30</f>
        <v>192.857142857143</v>
      </c>
      <c r="P26" s="16">
        <f>'C５级比赛'!P26*30</f>
        <v>180</v>
      </c>
      <c r="Q26" s="16">
        <f>'C５级比赛'!Q26*30</f>
        <v>168.75</v>
      </c>
      <c r="R26" s="16">
        <f>'C５级比赛'!R26*30</f>
        <v>150</v>
      </c>
      <c r="S26" s="16">
        <f>'C５级比赛'!S26*30</f>
        <v>135</v>
      </c>
      <c r="T26" s="16">
        <f>'C５级比赛'!T26*30</f>
        <v>103.846153846154</v>
      </c>
      <c r="U26" s="16">
        <f>'C５级比赛'!U26*30</f>
        <v>90</v>
      </c>
      <c r="V26" s="16">
        <f>'C５级比赛'!V26*30</f>
        <v>65.8536585365854</v>
      </c>
      <c r="W26" s="16">
        <f>'C５级比赛'!W26*30</f>
        <v>52.9411764705882</v>
      </c>
      <c r="X26" s="16">
        <f>'C５级比赛'!X26*30</f>
        <v>44.2622950819671</v>
      </c>
      <c r="Y26" s="38">
        <f>'C５级比赛'!Y26*30</f>
        <v>14731.5203518405</v>
      </c>
      <c r="Z26" s="15">
        <f>'C５级比赛'!Z26*30</f>
        <v>104.478867743549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</row>
    <row r="27" spans="1:172">
      <c r="A27" s="22" t="s">
        <v>65</v>
      </c>
      <c r="B27" s="16">
        <f>'C５级比赛'!B27*30</f>
        <v>3006</v>
      </c>
      <c r="C27" s="16">
        <f>'C５级比赛'!C27*30</f>
        <v>2104.2</v>
      </c>
      <c r="D27" s="16">
        <f>'C５级比赛'!D27*30</f>
        <v>1503</v>
      </c>
      <c r="E27" s="16">
        <f>'C５级比赛'!E27*30</f>
        <v>1052.1</v>
      </c>
      <c r="F27" s="16">
        <f>'C５级比赛'!F27*30</f>
        <v>601.2</v>
      </c>
      <c r="G27" s="16">
        <f>'C５级比赛'!G27*30</f>
        <v>501</v>
      </c>
      <c r="H27" s="16">
        <f>'C５级比赛'!H27*30</f>
        <v>429.428571428571</v>
      </c>
      <c r="I27" s="16">
        <f>'C５级比赛'!I27*30</f>
        <v>375.75</v>
      </c>
      <c r="J27" s="16">
        <f>'C５级比赛'!J27*30</f>
        <v>334</v>
      </c>
      <c r="K27" s="16">
        <f>'C５级比赛'!K27*30</f>
        <v>300.6</v>
      </c>
      <c r="L27" s="16">
        <f>'C５级比赛'!L27*30</f>
        <v>273.272727272727</v>
      </c>
      <c r="M27" s="16">
        <f>'C５级比赛'!M27*30</f>
        <v>250.5</v>
      </c>
      <c r="N27" s="16">
        <f>'C５级比赛'!N27*30</f>
        <v>231.230769230769</v>
      </c>
      <c r="O27" s="16">
        <f>'C５级比赛'!O27*30</f>
        <v>214.714285714286</v>
      </c>
      <c r="P27" s="16">
        <f>'C５级比赛'!P27*30</f>
        <v>200.4</v>
      </c>
      <c r="Q27" s="16">
        <f>'C５级比赛'!Q27*30</f>
        <v>187.875</v>
      </c>
      <c r="R27" s="16">
        <f>'C５级比赛'!R27*30</f>
        <v>167</v>
      </c>
      <c r="S27" s="16">
        <f>'C５级比赛'!S27*30</f>
        <v>150.3</v>
      </c>
      <c r="T27" s="16">
        <f>'C５级比赛'!T27*30</f>
        <v>115.615384615385</v>
      </c>
      <c r="U27" s="16">
        <f>'C５级比赛'!U27*30</f>
        <v>100.2</v>
      </c>
      <c r="V27" s="16">
        <f>'C５级比赛'!V27*30</f>
        <v>73.3170731707317</v>
      </c>
      <c r="W27" s="16">
        <f>'C５级比赛'!W27*30</f>
        <v>58.9411764705882</v>
      </c>
      <c r="X27" s="16">
        <f>'C５级比赛'!X27*30</f>
        <v>49.2786885245902</v>
      </c>
      <c r="Y27" s="16">
        <f>'C５级比赛'!Y27*30</f>
        <v>42.338028169014</v>
      </c>
      <c r="Z27" s="38">
        <f>'C５级比赛'!Z27*30</f>
        <v>16824.4729400725</v>
      </c>
      <c r="AA27" s="15">
        <f>'C５级比赛'!AA27*30</f>
        <v>104.499831925916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</row>
    <row r="28" spans="1:172">
      <c r="A28" s="22" t="s">
        <v>66</v>
      </c>
      <c r="B28" s="16">
        <f>'C５级比赛'!B28*30</f>
        <v>3306</v>
      </c>
      <c r="C28" s="16">
        <f>'C５级比赛'!C28*30</f>
        <v>2314.2</v>
      </c>
      <c r="D28" s="16">
        <f>'C５级比赛'!D28*30</f>
        <v>1653</v>
      </c>
      <c r="E28" s="16">
        <f>'C５级比赛'!E28*30</f>
        <v>1157.1</v>
      </c>
      <c r="F28" s="16">
        <f>'C５级比赛'!F28*30</f>
        <v>661.2</v>
      </c>
      <c r="G28" s="16">
        <f>'C５级比赛'!G28*30</f>
        <v>551</v>
      </c>
      <c r="H28" s="16">
        <f>'C５级比赛'!H28*30</f>
        <v>472.285714285714</v>
      </c>
      <c r="I28" s="16">
        <f>'C５级比赛'!I28*30</f>
        <v>413.25</v>
      </c>
      <c r="J28" s="16">
        <f>'C５级比赛'!J28*30</f>
        <v>367.333333333333</v>
      </c>
      <c r="K28" s="16">
        <f>'C５级比赛'!K28*30</f>
        <v>330.6</v>
      </c>
      <c r="L28" s="16">
        <f>'C５级比赛'!L28*30</f>
        <v>300.545454545455</v>
      </c>
      <c r="M28" s="16">
        <f>'C５级比赛'!M28*30</f>
        <v>275.5</v>
      </c>
      <c r="N28" s="16">
        <f>'C５级比赛'!N28*30</f>
        <v>254.307692307692</v>
      </c>
      <c r="O28" s="16">
        <f>'C５级比赛'!O28*30</f>
        <v>236.142857142857</v>
      </c>
      <c r="P28" s="16">
        <f>'C５级比赛'!P28*30</f>
        <v>220.4</v>
      </c>
      <c r="Q28" s="16">
        <f>'C５级比赛'!Q28*30</f>
        <v>206.625</v>
      </c>
      <c r="R28" s="16">
        <f>'C５级比赛'!R28*30</f>
        <v>183.666666666667</v>
      </c>
      <c r="S28" s="16">
        <f>'C５级比赛'!S28*30</f>
        <v>165.3</v>
      </c>
      <c r="T28" s="16">
        <f>'C５级比赛'!T28*30</f>
        <v>127.153846153846</v>
      </c>
      <c r="U28" s="16">
        <f>'C５级比赛'!U28*30</f>
        <v>110.2</v>
      </c>
      <c r="V28" s="16">
        <f>'C５级比赛'!V28*30</f>
        <v>80.6341463414634</v>
      </c>
      <c r="W28" s="16">
        <f>'C５级比赛'!W28*30</f>
        <v>64.8235294117647</v>
      </c>
      <c r="X28" s="16">
        <f>'C５级比赛'!X28*30</f>
        <v>54.1967213114754</v>
      </c>
      <c r="Y28" s="16">
        <f>'C５级比赛'!Y28*30</f>
        <v>46.5633802816901</v>
      </c>
      <c r="Z28" s="16">
        <f>'C５级比赛'!Z28*30</f>
        <v>40.8148148148147</v>
      </c>
      <c r="AA28" s="38">
        <f>'C５级比赛'!AA28*30</f>
        <v>18911.7102039964</v>
      </c>
      <c r="AB28" s="15">
        <f>'C５级比赛'!AB28*30</f>
        <v>104.484586762411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72">
      <c r="A29" s="22" t="s">
        <v>67</v>
      </c>
      <c r="B29" s="16">
        <f>'C５级比赛'!B29*30</f>
        <v>3603</v>
      </c>
      <c r="C29" s="16">
        <f>'C５级比赛'!C29*30</f>
        <v>2522.1</v>
      </c>
      <c r="D29" s="16">
        <f>'C５级比赛'!D29*30</f>
        <v>1801.5</v>
      </c>
      <c r="E29" s="16">
        <f>'C５级比赛'!E29*30</f>
        <v>1261.05</v>
      </c>
      <c r="F29" s="16">
        <f>'C５级比赛'!F29*30</f>
        <v>720.6</v>
      </c>
      <c r="G29" s="16">
        <f>'C５级比赛'!G29*30</f>
        <v>600.5</v>
      </c>
      <c r="H29" s="16">
        <f>'C５级比赛'!H29*30</f>
        <v>514.714285714286</v>
      </c>
      <c r="I29" s="16">
        <f>'C５级比赛'!I29*30</f>
        <v>450.375</v>
      </c>
      <c r="J29" s="16">
        <f>'C５级比赛'!J29*30</f>
        <v>400.333333333333</v>
      </c>
      <c r="K29" s="16">
        <f>'C５级比赛'!K29*30</f>
        <v>360.3</v>
      </c>
      <c r="L29" s="16">
        <f>'C５级比赛'!L29*30</f>
        <v>327.545454545455</v>
      </c>
      <c r="M29" s="16">
        <f>'C５级比赛'!M29*30</f>
        <v>300.25</v>
      </c>
      <c r="N29" s="16">
        <f>'C５级比赛'!N29*30</f>
        <v>277.153846153846</v>
      </c>
      <c r="O29" s="16">
        <f>'C５级比赛'!O29*30</f>
        <v>257.357142857143</v>
      </c>
      <c r="P29" s="16">
        <f>'C５级比赛'!P29*30</f>
        <v>240.2</v>
      </c>
      <c r="Q29" s="16">
        <f>'C５级比赛'!Q29*30</f>
        <v>225.1875</v>
      </c>
      <c r="R29" s="16">
        <f>'C５级比赛'!R29*30</f>
        <v>200.166666666667</v>
      </c>
      <c r="S29" s="16">
        <f>'C５级比赛'!S29*30</f>
        <v>180.15</v>
      </c>
      <c r="T29" s="16">
        <f>'C５级比赛'!T29*30</f>
        <v>138.576923076923</v>
      </c>
      <c r="U29" s="16">
        <f>'C５级比赛'!U29*30</f>
        <v>120.1</v>
      </c>
      <c r="V29" s="16">
        <f>'C５级比赛'!V29*30</f>
        <v>87.8780487804878</v>
      </c>
      <c r="W29" s="16">
        <f>'C５级比赛'!W29*30</f>
        <v>70.6470588235294</v>
      </c>
      <c r="X29" s="16">
        <f>'C５级比赛'!X29*30</f>
        <v>59.0655737704918</v>
      </c>
      <c r="Y29" s="16">
        <f>'C５级比赛'!Y29*30</f>
        <v>50.7464788732394</v>
      </c>
      <c r="Z29" s="16">
        <f>'C５级比赛'!Z29*30</f>
        <v>44.4814814814815</v>
      </c>
      <c r="AA29" s="16">
        <f>'C５级比赛'!AA29*30</f>
        <v>39.5934065934066</v>
      </c>
      <c r="AB29" s="38">
        <f>'C５级比赛'!AB29*30</f>
        <v>21006.609161215</v>
      </c>
      <c r="AC29" s="15">
        <f>'C５级比赛'!AC29*30</f>
        <v>104.510493339378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72">
      <c r="A30" s="22" t="s">
        <v>68</v>
      </c>
      <c r="B30" s="16">
        <f>'C５级比赛'!B30*30</f>
        <v>4176</v>
      </c>
      <c r="C30" s="16">
        <f>'C５级比赛'!C30*30</f>
        <v>2923.2</v>
      </c>
      <c r="D30" s="16">
        <f>'C５级比赛'!D30*30</f>
        <v>2088</v>
      </c>
      <c r="E30" s="16">
        <f>'C５级比赛'!E30*30</f>
        <v>1461.6</v>
      </c>
      <c r="F30" s="16">
        <f>'C５级比赛'!F30*30</f>
        <v>835.2</v>
      </c>
      <c r="G30" s="16">
        <f>'C５级比赛'!G30*30</f>
        <v>696</v>
      </c>
      <c r="H30" s="16">
        <f>'C５级比赛'!H30*30</f>
        <v>596.571428571428</v>
      </c>
      <c r="I30" s="16">
        <f>'C５级比赛'!I30*30</f>
        <v>522</v>
      </c>
      <c r="J30" s="16">
        <f>'C５级比赛'!J30*30</f>
        <v>464</v>
      </c>
      <c r="K30" s="16">
        <f>'C５级比赛'!K30*30</f>
        <v>417.6</v>
      </c>
      <c r="L30" s="16">
        <f>'C５级比赛'!L30*30</f>
        <v>379.636363636364</v>
      </c>
      <c r="M30" s="16">
        <f>'C５级比赛'!M30*30</f>
        <v>348</v>
      </c>
      <c r="N30" s="16">
        <f>'C５级比赛'!N30*30</f>
        <v>321.230769230769</v>
      </c>
      <c r="O30" s="16">
        <f>'C５级比赛'!O30*30</f>
        <v>298.285714285714</v>
      </c>
      <c r="P30" s="16">
        <f>'C５级比赛'!P30*30</f>
        <v>278.4</v>
      </c>
      <c r="Q30" s="16">
        <f>'C５级比赛'!Q30*30</f>
        <v>261</v>
      </c>
      <c r="R30" s="16">
        <f>'C５级比赛'!R30*30</f>
        <v>232</v>
      </c>
      <c r="S30" s="16">
        <f>'C５级比赛'!S30*30</f>
        <v>208.8</v>
      </c>
      <c r="T30" s="16">
        <f>'C５级比赛'!T30*30</f>
        <v>160.615384615385</v>
      </c>
      <c r="U30" s="16">
        <f>'C５级比赛'!U30*30</f>
        <v>139.2</v>
      </c>
      <c r="V30" s="16">
        <f>'C５级比赛'!V30*30</f>
        <v>101.853658536585</v>
      </c>
      <c r="W30" s="16">
        <f>'C５级比赛'!W30*30</f>
        <v>81.8823529411765</v>
      </c>
      <c r="X30" s="16">
        <f>'C５级比赛'!X30*30</f>
        <v>68.4590163934426</v>
      </c>
      <c r="Y30" s="16">
        <f>'C５级比赛'!Y30*30</f>
        <v>58.8169014084507</v>
      </c>
      <c r="Z30" s="16">
        <f>'C５级比赛'!Z30*30</f>
        <v>51.5555555555556</v>
      </c>
      <c r="AA30" s="16">
        <f>'C５级比赛'!AA30*30</f>
        <v>45.8901098901099</v>
      </c>
      <c r="AB30" s="16">
        <f>'C５级比赛'!AB30*30</f>
        <v>41.76</v>
      </c>
      <c r="AC30" s="38">
        <f>'C５级比赛'!AC30*30</f>
        <v>25182.5771460544</v>
      </c>
      <c r="AD30" s="15">
        <f>'C５级比赛'!AD30*30</f>
        <v>104.492021352923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</row>
    <row r="31" spans="1:172">
      <c r="A31" s="22" t="s">
        <v>69</v>
      </c>
      <c r="B31" s="16">
        <f>'C５级比赛'!B31*30</f>
        <v>4740</v>
      </c>
      <c r="C31" s="16">
        <f>'C５级比赛'!C31*30</f>
        <v>3318</v>
      </c>
      <c r="D31" s="16">
        <f>'C５级比赛'!D31*30</f>
        <v>2370</v>
      </c>
      <c r="E31" s="16">
        <f>'C５级比赛'!E31*30</f>
        <v>1659</v>
      </c>
      <c r="F31" s="16">
        <f>'C５级比赛'!F31*30</f>
        <v>948</v>
      </c>
      <c r="G31" s="16">
        <f>'C５级比赛'!G31*30</f>
        <v>790</v>
      </c>
      <c r="H31" s="16">
        <f>'C５级比赛'!H31*30</f>
        <v>677.142857142857</v>
      </c>
      <c r="I31" s="16">
        <f>'C５级比赛'!I31*30</f>
        <v>592.5</v>
      </c>
      <c r="J31" s="16">
        <f>'C５级比赛'!J31*30</f>
        <v>526.666666666667</v>
      </c>
      <c r="K31" s="16">
        <f>'C５级比赛'!K31*30</f>
        <v>474</v>
      </c>
      <c r="L31" s="16">
        <f>'C５级比赛'!L31*30</f>
        <v>430.909090909091</v>
      </c>
      <c r="M31" s="16">
        <f>'C５级比赛'!M31*30</f>
        <v>395</v>
      </c>
      <c r="N31" s="16">
        <f>'C５级比赛'!N31*30</f>
        <v>364.615384615385</v>
      </c>
      <c r="O31" s="16">
        <f>'C５级比赛'!O31*30</f>
        <v>338.571428571429</v>
      </c>
      <c r="P31" s="16">
        <f>'C５级比赛'!P31*30</f>
        <v>316</v>
      </c>
      <c r="Q31" s="16">
        <f>'C５级比赛'!Q31*30</f>
        <v>296.25</v>
      </c>
      <c r="R31" s="16">
        <f>'C５级比赛'!R31*30</f>
        <v>263.333333333333</v>
      </c>
      <c r="S31" s="16">
        <f>'C５级比赛'!S31*30</f>
        <v>237</v>
      </c>
      <c r="T31" s="16">
        <f>'C５级比赛'!T31*30</f>
        <v>182.307692307692</v>
      </c>
      <c r="U31" s="16">
        <f>'C５级比赛'!U31*30</f>
        <v>158</v>
      </c>
      <c r="V31" s="16">
        <f>'C５级比赛'!V31*30</f>
        <v>115.609756097561</v>
      </c>
      <c r="W31" s="16">
        <f>'C５级比赛'!W31*30</f>
        <v>92.9411764705882</v>
      </c>
      <c r="X31" s="16">
        <f>'C５级比赛'!X31*30</f>
        <v>77.7049180327869</v>
      </c>
      <c r="Y31" s="16">
        <f>'C５级比赛'!Y31*30</f>
        <v>66.7605633802817</v>
      </c>
      <c r="Z31" s="16">
        <f>'C５级比赛'!Z31*30</f>
        <v>58.5185185185185</v>
      </c>
      <c r="AA31" s="16">
        <f>'C５级比赛'!AA31*30</f>
        <v>52.0879120879121</v>
      </c>
      <c r="AB31" s="16">
        <f>'C５级比赛'!AB31*30</f>
        <v>47.4</v>
      </c>
      <c r="AC31" s="16">
        <f>'C５级比赛'!AC31*30</f>
        <v>39.1735537190082</v>
      </c>
      <c r="AD31" s="38">
        <f>'C５级比赛'!AD31*30</f>
        <v>29367.1434097005</v>
      </c>
      <c r="AE31" s="15">
        <f>'C５级比赛'!AE31*30</f>
        <v>104.509407151959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72">
      <c r="A32" s="22" t="s">
        <v>70</v>
      </c>
      <c r="B32" s="16">
        <f>'C５级比赛'!B32*30</f>
        <v>5295</v>
      </c>
      <c r="C32" s="16">
        <f>'C５级比赛'!C32*30</f>
        <v>3706.5</v>
      </c>
      <c r="D32" s="16">
        <f>'C５级比赛'!D32*30</f>
        <v>2647.5</v>
      </c>
      <c r="E32" s="16">
        <f>'C５级比赛'!E32*30</f>
        <v>1853.25</v>
      </c>
      <c r="F32" s="16">
        <f>'C５级比赛'!F32*30</f>
        <v>1059</v>
      </c>
      <c r="G32" s="16">
        <f>'C５级比赛'!G32*30</f>
        <v>882.5</v>
      </c>
      <c r="H32" s="16">
        <f>'C５级比赛'!H32*30</f>
        <v>756.428571428571</v>
      </c>
      <c r="I32" s="16">
        <f>'C５级比赛'!I32*30</f>
        <v>661.875</v>
      </c>
      <c r="J32" s="16">
        <f>'C５级比赛'!J32*30</f>
        <v>588.333333333333</v>
      </c>
      <c r="K32" s="16">
        <f>'C５级比赛'!K32*30</f>
        <v>529.5</v>
      </c>
      <c r="L32" s="16">
        <f>'C５级比赛'!L32*30</f>
        <v>481.363636363636</v>
      </c>
      <c r="M32" s="16">
        <f>'C５级比赛'!M32*30</f>
        <v>441.25</v>
      </c>
      <c r="N32" s="16">
        <f>'C５级比赛'!N32*30</f>
        <v>407.307692307692</v>
      </c>
      <c r="O32" s="16">
        <f>'C５级比赛'!O32*30</f>
        <v>378.214285714286</v>
      </c>
      <c r="P32" s="16">
        <f>'C５级比赛'!P32*30</f>
        <v>353</v>
      </c>
      <c r="Q32" s="16">
        <f>'C５级比赛'!Q32*30</f>
        <v>330.9375</v>
      </c>
      <c r="R32" s="16">
        <f>'C５级比赛'!R32*30</f>
        <v>294.166666666667</v>
      </c>
      <c r="S32" s="16">
        <f>'C５级比赛'!S32*30</f>
        <v>264.75</v>
      </c>
      <c r="T32" s="16">
        <f>'C５级比赛'!T32*30</f>
        <v>203.653846153846</v>
      </c>
      <c r="U32" s="16">
        <f>'C５级比赛'!U32*30</f>
        <v>176.5</v>
      </c>
      <c r="V32" s="16">
        <f>'C５级比赛'!V32*30</f>
        <v>129.146341463415</v>
      </c>
      <c r="W32" s="16">
        <f>'C５级比赛'!W32*30</f>
        <v>103.823529411765</v>
      </c>
      <c r="X32" s="16">
        <f>'C５级比赛'!X32*30</f>
        <v>86.8032786885246</v>
      </c>
      <c r="Y32" s="16">
        <f>'C５级比赛'!Y32*30</f>
        <v>74.5774647887324</v>
      </c>
      <c r="Z32" s="16">
        <f>'C５级比赛'!Z32*30</f>
        <v>65.3703703703704</v>
      </c>
      <c r="AA32" s="16">
        <f>'C５级比赛'!AA32*30</f>
        <v>58.1868131868132</v>
      </c>
      <c r="AB32" s="16">
        <f>'C５级比赛'!AB32*30</f>
        <v>52.95</v>
      </c>
      <c r="AC32" s="16">
        <f>'C５级比赛'!AC32*30</f>
        <v>43.7603305785124</v>
      </c>
      <c r="AD32" s="16">
        <f>'C５级比赛'!AD32*30</f>
        <v>37.5531914893617</v>
      </c>
      <c r="AE32" s="38">
        <f>'C５级比赛'!AE32*30</f>
        <v>33556.7651703704</v>
      </c>
      <c r="AF32" s="27">
        <f>'C５级比赛'!AF32*30</f>
        <v>104.53820925349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</row>
    <row r="33" spans="1:172">
      <c r="A33" s="22" t="s">
        <v>71</v>
      </c>
      <c r="B33" s="16">
        <f>'C５级比赛'!B33*30</f>
        <v>5841</v>
      </c>
      <c r="C33" s="16">
        <f>'C５级比赛'!C33*30</f>
        <v>4088.7</v>
      </c>
      <c r="D33" s="16">
        <f>'C５级比赛'!D33*30</f>
        <v>2920.5</v>
      </c>
      <c r="E33" s="16">
        <f>'C５级比赛'!E33*30</f>
        <v>2044.35</v>
      </c>
      <c r="F33" s="16">
        <f>'C５级比赛'!F33*30</f>
        <v>1168.2</v>
      </c>
      <c r="G33" s="16">
        <f>'C５级比赛'!G33*30</f>
        <v>973.5</v>
      </c>
      <c r="H33" s="16">
        <f>'C５级比赛'!H33*30</f>
        <v>834.428571428571</v>
      </c>
      <c r="I33" s="16">
        <f>'C５级比赛'!I33*30</f>
        <v>730.125</v>
      </c>
      <c r="J33" s="16">
        <f>'C５级比赛'!J33*30</f>
        <v>649</v>
      </c>
      <c r="K33" s="16">
        <f>'C５级比赛'!K33*30</f>
        <v>584.1</v>
      </c>
      <c r="L33" s="16">
        <f>'C５级比赛'!L33*30</f>
        <v>531</v>
      </c>
      <c r="M33" s="16">
        <f>'C５级比赛'!M33*30</f>
        <v>486.75</v>
      </c>
      <c r="N33" s="16">
        <f>'C５级比赛'!N33*30</f>
        <v>449.307692307692</v>
      </c>
      <c r="O33" s="16">
        <f>'C５级比赛'!O33*30</f>
        <v>417.214285714286</v>
      </c>
      <c r="P33" s="16">
        <f>'C５级比赛'!P33*30</f>
        <v>389.4</v>
      </c>
      <c r="Q33" s="16">
        <f>'C５级比赛'!Q33*30</f>
        <v>365.0625</v>
      </c>
      <c r="R33" s="16">
        <f>'C５级比赛'!R33*30</f>
        <v>324.5</v>
      </c>
      <c r="S33" s="16">
        <f>'C５级比赛'!S33*30</f>
        <v>292.05</v>
      </c>
      <c r="T33" s="16">
        <f>'C５级比赛'!T33*30</f>
        <v>224.653846153846</v>
      </c>
      <c r="U33" s="16">
        <f>'C５级比赛'!U33*30</f>
        <v>194.7</v>
      </c>
      <c r="V33" s="16">
        <f>'C５级比赛'!V33*30</f>
        <v>142.463414634146</v>
      </c>
      <c r="W33" s="16">
        <f>'C５级比赛'!W33*30</f>
        <v>114.529411764706</v>
      </c>
      <c r="X33" s="16">
        <f>'C５级比赛'!X33*30</f>
        <v>95.7540983606557</v>
      </c>
      <c r="Y33" s="16">
        <f>'C５级比赛'!Y33*30</f>
        <v>82.2676056338028</v>
      </c>
      <c r="Z33" s="16">
        <f>'C５级比赛'!Z33*30</f>
        <v>72.1111111111111</v>
      </c>
      <c r="AA33" s="16">
        <f>'C５级比赛'!AA33*30</f>
        <v>64.1868131868132</v>
      </c>
      <c r="AB33" s="16">
        <f>'C５级比赛'!AB33*30</f>
        <v>58.41</v>
      </c>
      <c r="AC33" s="16">
        <f>'C５级比赛'!AC33*30</f>
        <v>48.2727272727273</v>
      </c>
      <c r="AD33" s="16">
        <f>'C５级比赛'!AD33*30</f>
        <v>41.4255319148936</v>
      </c>
      <c r="AE33" s="16">
        <f>'C５级比赛'!AE33*30</f>
        <v>36.2795031055902</v>
      </c>
      <c r="AF33" s="39">
        <f>'C５级比赛'!AF33*30</f>
        <v>37742.5995729964</v>
      </c>
      <c r="AG33" s="27">
        <f>'C５级比赛'!AG33*30</f>
        <v>104.55013732132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</row>
    <row r="34" spans="1:172">
      <c r="A34" s="22" t="s">
        <v>72</v>
      </c>
      <c r="B34" s="16">
        <f>'C５级比赛'!B34*30</f>
        <v>6381</v>
      </c>
      <c r="C34" s="16">
        <f>'C５级比赛'!C34*30</f>
        <v>4466.7</v>
      </c>
      <c r="D34" s="16">
        <f>'C５级比赛'!D34*30</f>
        <v>3190.5</v>
      </c>
      <c r="E34" s="16">
        <f>'C５级比赛'!E34*30</f>
        <v>2233.35</v>
      </c>
      <c r="F34" s="16">
        <f>'C５级比赛'!F34*30</f>
        <v>1276.2</v>
      </c>
      <c r="G34" s="16">
        <f>'C５级比赛'!G34*30</f>
        <v>1063.5</v>
      </c>
      <c r="H34" s="16">
        <f>'C５级比赛'!H34*30</f>
        <v>911.571428571428</v>
      </c>
      <c r="I34" s="16">
        <f>'C５级比赛'!I34*30</f>
        <v>797.625</v>
      </c>
      <c r="J34" s="16">
        <f>'C５级比赛'!J34*30</f>
        <v>709</v>
      </c>
      <c r="K34" s="16">
        <f>'C５级比赛'!K34*30</f>
        <v>638.1</v>
      </c>
      <c r="L34" s="16">
        <f>'C５级比赛'!L34*30</f>
        <v>580.090909090909</v>
      </c>
      <c r="M34" s="16">
        <f>'C５级比赛'!M34*30</f>
        <v>531.75</v>
      </c>
      <c r="N34" s="16">
        <f>'C５级比赛'!N34*30</f>
        <v>490.846153846154</v>
      </c>
      <c r="O34" s="16">
        <f>'C５级比赛'!O34*30</f>
        <v>455.785714285714</v>
      </c>
      <c r="P34" s="16">
        <f>'C５级比赛'!P34*30</f>
        <v>425.4</v>
      </c>
      <c r="Q34" s="16">
        <f>'C５级比赛'!Q34*30</f>
        <v>398.8125</v>
      </c>
      <c r="R34" s="16">
        <f>'C５级比赛'!R34*30</f>
        <v>354.5</v>
      </c>
      <c r="S34" s="16">
        <f>'C５级比赛'!S34*30</f>
        <v>319.05</v>
      </c>
      <c r="T34" s="16">
        <f>'C５级比赛'!T34*30</f>
        <v>245.423076923077</v>
      </c>
      <c r="U34" s="16">
        <f>'C５级比赛'!U34*30</f>
        <v>212.7</v>
      </c>
      <c r="V34" s="16">
        <f>'C５级比赛'!V34*30</f>
        <v>155.634146341463</v>
      </c>
      <c r="W34" s="16">
        <f>'C５级比赛'!W34*30</f>
        <v>125.117647058824</v>
      </c>
      <c r="X34" s="16">
        <f>'C５级比赛'!X34*30</f>
        <v>104.606557377049</v>
      </c>
      <c r="Y34" s="16">
        <f>'C５级比赛'!Y34*30</f>
        <v>89.8732394366197</v>
      </c>
      <c r="Z34" s="16">
        <f>'C５级比赛'!Z34*30</f>
        <v>78.7777777777778</v>
      </c>
      <c r="AA34" s="16">
        <f>'C５级比赛'!AA34*30</f>
        <v>70.1208791208791</v>
      </c>
      <c r="AB34" s="16">
        <f>'C５级比赛'!AB34*30</f>
        <v>63.81</v>
      </c>
      <c r="AC34" s="16">
        <f>'C５级比赛'!AC34*30</f>
        <v>52.7355371900826</v>
      </c>
      <c r="AD34" s="16">
        <f>'C５级比赛'!AD34*30</f>
        <v>45.2553191489362</v>
      </c>
      <c r="AE34" s="16">
        <f>'C５级比赛'!AE34*30</f>
        <v>39.6335403726708</v>
      </c>
      <c r="AF34" s="25">
        <f>'C５级比赛'!AF34*30</f>
        <v>35.2541436464088</v>
      </c>
      <c r="AG34" s="39">
        <f>'C５级比赛'!AG34*30</f>
        <v>41936.9828686977</v>
      </c>
      <c r="AH34" s="27">
        <f>'C５级比赛'!AH34*30</f>
        <v>104.581004660094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</row>
    <row r="35" spans="1:172">
      <c r="A35" s="22" t="s">
        <v>73</v>
      </c>
      <c r="B35" s="16">
        <f>'C５级比赛'!B35*30</f>
        <v>8889</v>
      </c>
      <c r="C35" s="16">
        <f>'C５级比赛'!C35*30</f>
        <v>6222.3</v>
      </c>
      <c r="D35" s="16">
        <f>'C５级比赛'!D35*30</f>
        <v>4444.5</v>
      </c>
      <c r="E35" s="16">
        <f>'C５级比赛'!E35*30</f>
        <v>3111.15</v>
      </c>
      <c r="F35" s="16">
        <f>'C５级比赛'!F35*30</f>
        <v>1777.8</v>
      </c>
      <c r="G35" s="16">
        <f>'C５级比赛'!G35*30</f>
        <v>1481.5</v>
      </c>
      <c r="H35" s="16">
        <f>'C５级比赛'!H35*30</f>
        <v>1269.85714285714</v>
      </c>
      <c r="I35" s="16">
        <f>'C５级比赛'!I35*30</f>
        <v>1111.125</v>
      </c>
      <c r="J35" s="16">
        <f>'C５级比赛'!J35*30</f>
        <v>987.666666666667</v>
      </c>
      <c r="K35" s="16">
        <f>'C５级比赛'!K35*30</f>
        <v>888.9</v>
      </c>
      <c r="L35" s="16">
        <f>'C５级比赛'!L35*30</f>
        <v>808.090909090909</v>
      </c>
      <c r="M35" s="16">
        <f>'C５级比赛'!M35*30</f>
        <v>740.75</v>
      </c>
      <c r="N35" s="16">
        <f>'C５级比赛'!N35*30</f>
        <v>683.769230769231</v>
      </c>
      <c r="O35" s="16">
        <f>'C５级比赛'!O35*30</f>
        <v>634.928571428571</v>
      </c>
      <c r="P35" s="16">
        <f>'C５级比赛'!P35*30</f>
        <v>592.6</v>
      </c>
      <c r="Q35" s="16">
        <f>'C５级比赛'!Q35*30</f>
        <v>555.5625</v>
      </c>
      <c r="R35" s="16">
        <f>'C５级比赛'!R35*30</f>
        <v>493.833333333333</v>
      </c>
      <c r="S35" s="16">
        <f>'C５级比赛'!S35*30</f>
        <v>444.45</v>
      </c>
      <c r="T35" s="16">
        <f>'C５级比赛'!T35*30</f>
        <v>341.884615384615</v>
      </c>
      <c r="U35" s="16">
        <f>'C５级比赛'!U35*30</f>
        <v>296.3</v>
      </c>
      <c r="V35" s="16">
        <f>'C５级比赛'!V35*30</f>
        <v>216.80487804878</v>
      </c>
      <c r="W35" s="16">
        <f>'C５级比赛'!W35*30</f>
        <v>174.294117647059</v>
      </c>
      <c r="X35" s="16">
        <f>'C５级比赛'!X35*30</f>
        <v>145.72131147541</v>
      </c>
      <c r="Y35" s="16">
        <f>'C５级比赛'!Y35*30</f>
        <v>125.197183098592</v>
      </c>
      <c r="Z35" s="16">
        <f>'C５级比赛'!Z35*30</f>
        <v>109.740740740741</v>
      </c>
      <c r="AA35" s="16">
        <f>'C５级比赛'!AA35*30</f>
        <v>97.6813186813187</v>
      </c>
      <c r="AB35" s="16">
        <f>'C５级比赛'!AB35*30</f>
        <v>88.89</v>
      </c>
      <c r="AC35" s="16">
        <f>'C５级比赛'!AC35*30</f>
        <v>73.4628099173554</v>
      </c>
      <c r="AD35" s="16">
        <f>'C５级比赛'!AD35*30</f>
        <v>63.0425531914894</v>
      </c>
      <c r="AE35" s="16">
        <f>'C５级比赛'!AE35*30</f>
        <v>55.2111801242236</v>
      </c>
      <c r="AF35" s="25">
        <f>'C５级比赛'!AF35*30</f>
        <v>49.1104972375691</v>
      </c>
      <c r="AG35" s="25">
        <f>'C５级比赛'!AG35*30</f>
        <v>44.2238805970149</v>
      </c>
      <c r="AH35" s="39">
        <f>'C５级比赛'!AH35*30</f>
        <v>62842.3599637688</v>
      </c>
      <c r="AI35" s="27">
        <f>'C５级比赛'!AI35*30</f>
        <v>104.562994948035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</row>
    <row r="36" spans="1:172">
      <c r="A36" s="22" t="s">
        <v>74</v>
      </c>
      <c r="B36" s="16">
        <f>'C５级比赛'!B36*30</f>
        <v>11316</v>
      </c>
      <c r="C36" s="16">
        <f>'C５级比赛'!C36*30</f>
        <v>7921.2</v>
      </c>
      <c r="D36" s="16">
        <f>'C５级比赛'!D36*30</f>
        <v>5658</v>
      </c>
      <c r="E36" s="16">
        <f>'C５级比赛'!E36*30</f>
        <v>3960.6</v>
      </c>
      <c r="F36" s="16">
        <f>'C５级比赛'!F36*30</f>
        <v>2263.2</v>
      </c>
      <c r="G36" s="16">
        <f>'C５级比赛'!G36*30</f>
        <v>1886</v>
      </c>
      <c r="H36" s="16">
        <f>'C５级比赛'!H36*30</f>
        <v>1616.57142857143</v>
      </c>
      <c r="I36" s="16">
        <f>'C５级比赛'!I36*30</f>
        <v>1414.5</v>
      </c>
      <c r="J36" s="16">
        <f>'C５级比赛'!J36*30</f>
        <v>1257.33333333333</v>
      </c>
      <c r="K36" s="16">
        <f>'C５级比赛'!K36*30</f>
        <v>1131.6</v>
      </c>
      <c r="L36" s="16">
        <f>'C５级比赛'!L36*30</f>
        <v>1028.72727272727</v>
      </c>
      <c r="M36" s="16">
        <f>'C５级比赛'!M36*30</f>
        <v>943</v>
      </c>
      <c r="N36" s="16">
        <f>'C５级比赛'!N36*30</f>
        <v>870.461538461538</v>
      </c>
      <c r="O36" s="16">
        <f>'C５级比赛'!O36*30</f>
        <v>808.285714285714</v>
      </c>
      <c r="P36" s="16">
        <f>'C５级比赛'!P36*30</f>
        <v>754.4</v>
      </c>
      <c r="Q36" s="16">
        <f>'C５级比赛'!Q36*30</f>
        <v>707.25</v>
      </c>
      <c r="R36" s="16">
        <f>'C５级比赛'!R36*30</f>
        <v>628.666666666667</v>
      </c>
      <c r="S36" s="16">
        <f>'C５级比赛'!S36*30</f>
        <v>565.8</v>
      </c>
      <c r="T36" s="16">
        <f>'C５级比赛'!T36*30</f>
        <v>435.230769230769</v>
      </c>
      <c r="U36" s="16">
        <f>'C５级比赛'!U36*30</f>
        <v>377.2</v>
      </c>
      <c r="V36" s="16">
        <f>'C５级比赛'!V36*30</f>
        <v>276</v>
      </c>
      <c r="W36" s="16">
        <f>'C５级比赛'!W36*30</f>
        <v>221.882352941176</v>
      </c>
      <c r="X36" s="16">
        <f>'C５级比赛'!X36*30</f>
        <v>185.508196721311</v>
      </c>
      <c r="Y36" s="16">
        <f>'C５级比赛'!Y36*30</f>
        <v>159.380281690141</v>
      </c>
      <c r="Z36" s="16">
        <f>'C５级比赛'!Z36*30</f>
        <v>139.703703703704</v>
      </c>
      <c r="AA36" s="16">
        <f>'C５级比赛'!AA36*30</f>
        <v>124.351648351648</v>
      </c>
      <c r="AB36" s="16">
        <f>'C５级比赛'!AB36*30</f>
        <v>113.16</v>
      </c>
      <c r="AC36" s="16">
        <f>'C５级比赛'!AC36*30</f>
        <v>93.5206611570248</v>
      </c>
      <c r="AD36" s="16">
        <f>'C５级比赛'!AD36*30</f>
        <v>80.2553191489362</v>
      </c>
      <c r="AE36" s="16">
        <f>'C５级比赛'!AE36*30</f>
        <v>70.2857142857143</v>
      </c>
      <c r="AF36" s="25">
        <f>'C５级比赛'!AF36*30</f>
        <v>62.5193370165746</v>
      </c>
      <c r="AG36" s="25">
        <f>'C５级比赛'!AG36*30</f>
        <v>56.2985074626866</v>
      </c>
      <c r="AH36" s="25">
        <f>'C５级比赛'!AH36*30</f>
        <v>37.594684385382</v>
      </c>
      <c r="AI36" s="39">
        <f>'C５级比赛'!AI36*30</f>
        <v>83759.9347845848</v>
      </c>
      <c r="AJ36" s="27">
        <f>'C５级比赛'!AJ36*30</f>
        <v>104.569206972016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</row>
    <row r="37" s="2" customFormat="1" spans="1:172">
      <c r="A37" s="19" t="s">
        <v>75</v>
      </c>
      <c r="B37" s="13">
        <f>'C５级比赛'!B37*30</f>
        <v>13680</v>
      </c>
      <c r="C37" s="13">
        <f>'C５级比赛'!C37*30</f>
        <v>9576</v>
      </c>
      <c r="D37" s="13">
        <f>'C５级比赛'!D37*30</f>
        <v>6840</v>
      </c>
      <c r="E37" s="13">
        <f>'C５级比赛'!E37*30</f>
        <v>4788</v>
      </c>
      <c r="F37" s="13">
        <f>'C５级比赛'!F37*30</f>
        <v>2736</v>
      </c>
      <c r="G37" s="13">
        <f>'C５级比赛'!G37*30</f>
        <v>2280</v>
      </c>
      <c r="H37" s="13">
        <f>'C５级比赛'!H37*30</f>
        <v>1954.28571428571</v>
      </c>
      <c r="I37" s="13">
        <f>'C５级比赛'!I37*30</f>
        <v>1710</v>
      </c>
      <c r="J37" s="13">
        <f>'C５级比赛'!J37*30</f>
        <v>1520</v>
      </c>
      <c r="K37" s="13">
        <f>'C５级比赛'!K37*30</f>
        <v>1368</v>
      </c>
      <c r="L37" s="13">
        <f>'C５级比赛'!L37*30</f>
        <v>1243.63636363636</v>
      </c>
      <c r="M37" s="13">
        <f>'C５级比赛'!M37*30</f>
        <v>1140</v>
      </c>
      <c r="N37" s="13">
        <f>'C５级比赛'!N37*30</f>
        <v>1052.30769230769</v>
      </c>
      <c r="O37" s="13">
        <f>'C５级比赛'!O37*30</f>
        <v>977.142857142857</v>
      </c>
      <c r="P37" s="13">
        <f>'C５级比赛'!P37*30</f>
        <v>912</v>
      </c>
      <c r="Q37" s="13">
        <f>'C５级比赛'!Q37*30</f>
        <v>855</v>
      </c>
      <c r="R37" s="13">
        <f>'C５级比赛'!R37*30</f>
        <v>760</v>
      </c>
      <c r="S37" s="13">
        <f>'C５级比赛'!S37*30</f>
        <v>684</v>
      </c>
      <c r="T37" s="13">
        <f>'C５级比赛'!T37*30</f>
        <v>526.153846153846</v>
      </c>
      <c r="U37" s="13">
        <f>'C５级比赛'!U37*30</f>
        <v>456</v>
      </c>
      <c r="V37" s="13">
        <f>'C５级比赛'!V37*30</f>
        <v>333.658536585366</v>
      </c>
      <c r="W37" s="13">
        <f>'C５级比赛'!W37*30</f>
        <v>268.235294117647</v>
      </c>
      <c r="X37" s="13">
        <f>'C５级比赛'!X37*30</f>
        <v>224.262295081967</v>
      </c>
      <c r="Y37" s="13">
        <f>'C５级比赛'!Y37*30</f>
        <v>192.676056338028</v>
      </c>
      <c r="Z37" s="13">
        <f>'C５级比赛'!Z37*30</f>
        <v>168.888888888889</v>
      </c>
      <c r="AA37" s="13">
        <f>'C５级比赛'!AA37*30</f>
        <v>150.32967032967</v>
      </c>
      <c r="AB37" s="13">
        <f>'C５级比赛'!AB37*30</f>
        <v>136.8</v>
      </c>
      <c r="AC37" s="13">
        <f>'C５级比赛'!AC37*30</f>
        <v>113.057851239669</v>
      </c>
      <c r="AD37" s="13">
        <f>'C５级比赛'!AD37*30</f>
        <v>97.0212765957447</v>
      </c>
      <c r="AE37" s="13">
        <f>'C５级比赛'!AE37*30</f>
        <v>84.9689440993789</v>
      </c>
      <c r="AF37" s="29">
        <f>'C５级比赛'!AF37*30</f>
        <v>75.5801104972376</v>
      </c>
      <c r="AG37" s="29">
        <f>'C５级比赛'!AG37*30</f>
        <v>68.0597014925373</v>
      </c>
      <c r="AH37" s="29">
        <f>'C５级比赛'!AH37*30</f>
        <v>45.4485049833887</v>
      </c>
      <c r="AI37" s="29">
        <f>'C５级比赛'!AI37*30</f>
        <v>34.1147132169576</v>
      </c>
      <c r="AJ37" s="39">
        <f>'C５级比赛'!AJ37*30</f>
        <v>104669.504889487</v>
      </c>
      <c r="AK37" s="27">
        <f>'C５级比赛'!AK37*30</f>
        <v>104.564939949537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</row>
    <row r="38" spans="1:172">
      <c r="A38" s="22" t="s">
        <v>76</v>
      </c>
      <c r="B38" s="16">
        <f>'C５级比赛'!B38*30</f>
        <v>15048</v>
      </c>
      <c r="C38" s="16">
        <f>'C５级比赛'!C38*30</f>
        <v>13693.68</v>
      </c>
      <c r="D38" s="16">
        <f>'C５级比赛'!D38*30</f>
        <v>9781.2</v>
      </c>
      <c r="E38" s="16">
        <f>'C５级比赛'!E38*30</f>
        <v>7373.52</v>
      </c>
      <c r="F38" s="16">
        <f>'C５级比赛'!F38*30</f>
        <v>4213.44</v>
      </c>
      <c r="G38" s="16">
        <f>'C５级比赛'!G38*30</f>
        <v>3511.2</v>
      </c>
      <c r="H38" s="16">
        <f>'C５级比赛'!H38*30</f>
        <v>3009.6</v>
      </c>
      <c r="I38" s="16">
        <f>'C５级比赛'!I38*30</f>
        <v>2633.4</v>
      </c>
      <c r="J38" s="16">
        <f>'C５级比赛'!J38*30</f>
        <v>2340.8</v>
      </c>
      <c r="K38" s="16">
        <f>'C５级比赛'!K38*30</f>
        <v>2106.72</v>
      </c>
      <c r="L38" s="16">
        <f>'C５级比赛'!L38*30</f>
        <v>1915.2</v>
      </c>
      <c r="M38" s="16">
        <f>'C５级比赛'!M38*30</f>
        <v>1755.6</v>
      </c>
      <c r="N38" s="16">
        <f>'C５级比赛'!N38*30</f>
        <v>1620.55384615385</v>
      </c>
      <c r="O38" s="16">
        <f>'C５级比赛'!O38*30</f>
        <v>1504.8</v>
      </c>
      <c r="P38" s="16">
        <f>'C５级比赛'!P38*30</f>
        <v>1404.48</v>
      </c>
      <c r="Q38" s="16">
        <f>'C５级比赛'!Q38*30</f>
        <v>1316.7</v>
      </c>
      <c r="R38" s="16">
        <f>'C５级比赛'!R38*30</f>
        <v>1170.4</v>
      </c>
      <c r="S38" s="16">
        <f>'C５级比赛'!S38*30</f>
        <v>978.12</v>
      </c>
      <c r="T38" s="16">
        <f>'C５级比赛'!T38*30</f>
        <v>752.4</v>
      </c>
      <c r="U38" s="16">
        <f>'C５级比赛'!U38*30</f>
        <v>652.08</v>
      </c>
      <c r="V38" s="16">
        <f>'C５级比赛'!V38*30</f>
        <v>477.131707317073</v>
      </c>
      <c r="W38" s="16">
        <f>'C５级比赛'!W38*30</f>
        <v>383.576470588235</v>
      </c>
      <c r="X38" s="16">
        <f>'C５级比赛'!X38*30</f>
        <v>320.695081967213</v>
      </c>
      <c r="Y38" s="16">
        <f>'C５级比赛'!Y38*30</f>
        <v>275.52676056338</v>
      </c>
      <c r="Z38" s="16">
        <f>'C５级比赛'!Z38*30</f>
        <v>241.511111111111</v>
      </c>
      <c r="AA38" s="16">
        <f>'C５级比赛'!AA38*30</f>
        <v>214.971428571429</v>
      </c>
      <c r="AB38" s="16">
        <f>'C５级比赛'!AB38*30</f>
        <v>195.624</v>
      </c>
      <c r="AC38" s="16">
        <f>'C５级比赛'!AC38*30</f>
        <v>161.672727272727</v>
      </c>
      <c r="AD38" s="16">
        <f>'C５级比赛'!AD38*30</f>
        <v>138.740425531915</v>
      </c>
      <c r="AE38" s="16">
        <f>'C５级比赛'!AE38*30</f>
        <v>121.505590062112</v>
      </c>
      <c r="AF38" s="25">
        <f>'C５级比赛'!AF38*30</f>
        <v>108.07955801105</v>
      </c>
      <c r="AG38" s="25">
        <f>'C５级比赛'!AG38*30</f>
        <v>97.3253731343284</v>
      </c>
      <c r="AH38" s="25">
        <f>'C５级比赛'!AH38*30</f>
        <v>64.9913621262458</v>
      </c>
      <c r="AI38" s="25">
        <f>'C５级比赛'!AI38*30</f>
        <v>48.7840399002494</v>
      </c>
      <c r="AJ38" s="25">
        <f>'C５级比赛'!AJ38*30</f>
        <v>39.0467065868264</v>
      </c>
      <c r="AK38" s="39">
        <f>'C５级比赛'!AK38*30</f>
        <v>157748.519627683</v>
      </c>
      <c r="AL38" s="27">
        <f>'C５级比赛'!AL38*30</f>
        <v>105.095616007784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</row>
    <row r="39" spans="1:172">
      <c r="A39" s="22" t="s">
        <v>77</v>
      </c>
      <c r="B39" s="16">
        <f>'C５级比赛'!B39*30</f>
        <v>16552.8</v>
      </c>
      <c r="C39" s="16">
        <f>'C５级比赛'!C39*30</f>
        <v>15063.048</v>
      </c>
      <c r="D39" s="16">
        <f>'C５级比赛'!D39*30</f>
        <v>14069.88</v>
      </c>
      <c r="E39" s="16">
        <f>'C５级比赛'!E39*30</f>
        <v>9848.916</v>
      </c>
      <c r="F39" s="16">
        <f>'C５级比赛'!F39*30</f>
        <v>5627.952</v>
      </c>
      <c r="G39" s="16">
        <f>'C５级比赛'!G39*30</f>
        <v>4689.96</v>
      </c>
      <c r="H39" s="16">
        <f>'C５级比赛'!H39*30</f>
        <v>4019.96571428571</v>
      </c>
      <c r="I39" s="16">
        <f>'C５级比赛'!I39*30</f>
        <v>3517.47</v>
      </c>
      <c r="J39" s="16">
        <f>'C５级比赛'!J39*30</f>
        <v>3126.64</v>
      </c>
      <c r="K39" s="16">
        <f>'C５级比赛'!K39*30</f>
        <v>2813.976</v>
      </c>
      <c r="L39" s="16">
        <f>'C５级比赛'!L39*30</f>
        <v>2558.16</v>
      </c>
      <c r="M39" s="16">
        <f>'C５级比赛'!M39*30</f>
        <v>2344.98</v>
      </c>
      <c r="N39" s="16">
        <f>'C５级比赛'!N39*30</f>
        <v>2164.59692307692</v>
      </c>
      <c r="O39" s="16">
        <f>'C５级比赛'!O39*30</f>
        <v>2009.98285714286</v>
      </c>
      <c r="P39" s="16">
        <f>'C５级比赛'!P39*30</f>
        <v>1875.984</v>
      </c>
      <c r="Q39" s="16">
        <f>'C５级比赛'!Q39*30</f>
        <v>1758.735</v>
      </c>
      <c r="R39" s="16">
        <f>'C５级比赛'!R39*30</f>
        <v>1563.32</v>
      </c>
      <c r="S39" s="16">
        <f>'C５级比赛'!S39*30</f>
        <v>1406.988</v>
      </c>
      <c r="T39" s="16">
        <f>'C５级比赛'!T39*30</f>
        <v>1082.29846153846</v>
      </c>
      <c r="U39" s="16">
        <f>'C５级比赛'!U39*30</f>
        <v>937.992</v>
      </c>
      <c r="V39" s="16">
        <f>'C５级比赛'!V39*30</f>
        <v>605.590243902439</v>
      </c>
      <c r="W39" s="16">
        <f>'C５级比赛'!W39*30</f>
        <v>486.847058823529</v>
      </c>
      <c r="X39" s="16">
        <f>'C５级比赛'!X39*30</f>
        <v>407.036065573771</v>
      </c>
      <c r="Y39" s="16">
        <f>'C５级比赛'!Y39*30</f>
        <v>349.707042253521</v>
      </c>
      <c r="Z39" s="16">
        <f>'C５级比赛'!Z39*30</f>
        <v>306.533333333333</v>
      </c>
      <c r="AA39" s="16">
        <f>'C５级比赛'!AA39*30</f>
        <v>272.848351648352</v>
      </c>
      <c r="AB39" s="16">
        <f>'C５级比赛'!AB39*30</f>
        <v>248.292</v>
      </c>
      <c r="AC39" s="16">
        <f>'C５级比赛'!AC39*30</f>
        <v>205.2</v>
      </c>
      <c r="AD39" s="16">
        <f>'C５级比赛'!AD39*30</f>
        <v>176.093617021277</v>
      </c>
      <c r="AE39" s="16">
        <f>'C５级比赛'!AE39*30</f>
        <v>154.218633540373</v>
      </c>
      <c r="AF39" s="25">
        <f>'C５级比赛'!AF39*30</f>
        <v>137.177900552486</v>
      </c>
      <c r="AG39" s="25">
        <f>'C５级比赛'!AG39*30</f>
        <v>123.528358208955</v>
      </c>
      <c r="AH39" s="25">
        <f>'C５级比赛'!AH39*30</f>
        <v>82.4890365448505</v>
      </c>
      <c r="AI39" s="25">
        <f>'C５级比赛'!AI39*30</f>
        <v>61.9182044887781</v>
      </c>
      <c r="AJ39" s="25">
        <f>'C５级比赛'!AJ39*30</f>
        <v>49.5592814371258</v>
      </c>
      <c r="AK39" s="25">
        <f>'C５级比赛'!AK39*30</f>
        <v>33.061517976032</v>
      </c>
      <c r="AL39" s="39">
        <f>'C５级比赛'!AL39*30</f>
        <v>210472.117557378</v>
      </c>
      <c r="AM39" s="27">
        <f>'C５级比赛'!AM39*30</f>
        <v>105.183467045166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</row>
    <row r="40" spans="1:172">
      <c r="A40" s="22" t="s">
        <v>78</v>
      </c>
      <c r="B40" s="16">
        <f>'C５级比赛'!B40*30</f>
        <v>19035.72</v>
      </c>
      <c r="C40" s="16">
        <f>'C５级比赛'!C40*30</f>
        <v>17322.5052</v>
      </c>
      <c r="D40" s="16">
        <f>'C５级比赛'!D40*30</f>
        <v>15704.469</v>
      </c>
      <c r="E40" s="16">
        <f>'C５级比赛'!E40*30</f>
        <v>14657.5044</v>
      </c>
      <c r="F40" s="16">
        <f>'C５级比赛'!F40*30</f>
        <v>8375.7168</v>
      </c>
      <c r="G40" s="16">
        <f>'C５级比赛'!G40*30</f>
        <v>6979.764</v>
      </c>
      <c r="H40" s="16">
        <f>'C５级比赛'!H40*30</f>
        <v>5982.65485714286</v>
      </c>
      <c r="I40" s="16">
        <f>'C５级比赛'!I40*30</f>
        <v>5234.823</v>
      </c>
      <c r="J40" s="16">
        <f>'C５级比赛'!J40*30</f>
        <v>4653.176</v>
      </c>
      <c r="K40" s="16">
        <f>'C５级比赛'!K40*30</f>
        <v>4187.8584</v>
      </c>
      <c r="L40" s="16">
        <f>'C５级比赛'!L40*30</f>
        <v>3807.144</v>
      </c>
      <c r="M40" s="16">
        <f>'C５级比赛'!M40*30</f>
        <v>3489.882</v>
      </c>
      <c r="N40" s="16">
        <f>'C５级比赛'!N40*30</f>
        <v>3221.42953846154</v>
      </c>
      <c r="O40" s="16">
        <f>'C５级比赛'!O40*30</f>
        <v>2991.32742857143</v>
      </c>
      <c r="P40" s="16">
        <f>'C５级比赛'!P40*30</f>
        <v>2791.9056</v>
      </c>
      <c r="Q40" s="16">
        <f>'C５级比赛'!Q40*30</f>
        <v>2617.4115</v>
      </c>
      <c r="R40" s="16">
        <f>'C５级比赛'!R40*30</f>
        <v>2326.588</v>
      </c>
      <c r="S40" s="16">
        <f>'C５级比赛'!S40*30</f>
        <v>2093.9292</v>
      </c>
      <c r="T40" s="16">
        <f>'C５级比赛'!T40*30</f>
        <v>1610.71476923077</v>
      </c>
      <c r="U40" s="16">
        <f>'C５级比赛'!U40*30</f>
        <v>1395.9528</v>
      </c>
      <c r="V40" s="16">
        <f>'C５级比赛'!V40*30</f>
        <v>1021.42887804878</v>
      </c>
      <c r="W40" s="16">
        <f>'C５级比赛'!W40*30</f>
        <v>821.148705882353</v>
      </c>
      <c r="X40" s="16">
        <f>'C５级比赛'!X40*30</f>
        <v>686.534163934426</v>
      </c>
      <c r="Y40" s="16">
        <f>'C５级比赛'!Y40*30</f>
        <v>589.839211267606</v>
      </c>
      <c r="Z40" s="16">
        <f>'C５级比赛'!Z40*30</f>
        <v>517.019555555556</v>
      </c>
      <c r="AA40" s="16">
        <f>'C５级比赛'!AA40*30</f>
        <v>460.20421978022</v>
      </c>
      <c r="AB40" s="16">
        <f>'C５级比赛'!AB40*30</f>
        <v>418.78584</v>
      </c>
      <c r="AC40" s="16">
        <f>'C５级比赛'!AC40*30</f>
        <v>346.104</v>
      </c>
      <c r="AD40" s="16">
        <f>'C５级比赛'!AD40*30</f>
        <v>270.010212765957</v>
      </c>
      <c r="AE40" s="16">
        <f>'C５级比赛'!AE40*30</f>
        <v>236.468571428571</v>
      </c>
      <c r="AF40" s="25">
        <f>'C５级比赛'!AF40*30</f>
        <v>210.339447513812</v>
      </c>
      <c r="AG40" s="25">
        <f>'C５级比赛'!AG40*30</f>
        <v>189.410149253731</v>
      </c>
      <c r="AH40" s="25">
        <f>'C５级比赛'!AH40*30</f>
        <v>126.483189368771</v>
      </c>
      <c r="AI40" s="25">
        <f>'C５级比赛'!AI40*30</f>
        <v>94.941246882793</v>
      </c>
      <c r="AJ40" s="25">
        <f>'C５级比赛'!AJ40*30</f>
        <v>60.7927185628743</v>
      </c>
      <c r="AK40" s="25">
        <f>'C５级比赛'!AK40*30</f>
        <v>40.5554620505992</v>
      </c>
      <c r="AL40" s="25">
        <f>'C５级比赛'!AL40*30</f>
        <v>30.4267252747253</v>
      </c>
      <c r="AM40" s="39">
        <f>'C５级比赛'!AM40*30</f>
        <v>315362.990190446</v>
      </c>
      <c r="AN40" s="27">
        <f>'C５级比赛'!AN40*30</f>
        <v>105.085968074124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</row>
    <row r="41" spans="1:172">
      <c r="A41" s="22" t="s">
        <v>79</v>
      </c>
      <c r="B41" s="16">
        <f>'C５级比赛'!B41*30</f>
        <v>21891.078</v>
      </c>
      <c r="C41" s="16">
        <f>'C５级比赛'!C41*30</f>
        <v>19920.88098</v>
      </c>
      <c r="D41" s="16">
        <f>'C５级比赛'!D41*30</f>
        <v>18060.13935</v>
      </c>
      <c r="E41" s="16">
        <f>'C５级比赛'!E41*30</f>
        <v>16856.13006</v>
      </c>
      <c r="F41" s="16">
        <f>'C５级比赛'!F41*30</f>
        <v>11383.36056</v>
      </c>
      <c r="G41" s="16">
        <f>'C５级比赛'!G41*30</f>
        <v>9486.1338</v>
      </c>
      <c r="H41" s="16">
        <f>'C５级比赛'!H41*30</f>
        <v>8130.97182857143</v>
      </c>
      <c r="I41" s="16">
        <f>'C５级比赛'!I41*30</f>
        <v>7114.60035</v>
      </c>
      <c r="J41" s="16">
        <f>'C５级比赛'!J41*30</f>
        <v>6324.0892</v>
      </c>
      <c r="K41" s="16">
        <f>'C５级比赛'!K41*30</f>
        <v>5691.68028</v>
      </c>
      <c r="L41" s="16">
        <f>'C５级比赛'!L41*30</f>
        <v>5174.2548</v>
      </c>
      <c r="M41" s="16">
        <f>'C５级比赛'!M41*30</f>
        <v>4743.0669</v>
      </c>
      <c r="N41" s="16">
        <f>'C５级比赛'!N41*30</f>
        <v>4378.2156</v>
      </c>
      <c r="O41" s="16">
        <f>'C５级比赛'!O41*30</f>
        <v>4065.48591428572</v>
      </c>
      <c r="P41" s="16">
        <f>'C５级比赛'!P41*30</f>
        <v>3794.45352</v>
      </c>
      <c r="Q41" s="16">
        <f>'C５级比赛'!Q41*30</f>
        <v>3557.300175</v>
      </c>
      <c r="R41" s="16">
        <f>'C５级比赛'!R41*30</f>
        <v>3162.0446</v>
      </c>
      <c r="S41" s="16">
        <f>'C５级比赛'!S41*30</f>
        <v>2845.84014</v>
      </c>
      <c r="T41" s="16">
        <f>'C５级比赛'!T41*30</f>
        <v>2189.1078</v>
      </c>
      <c r="U41" s="16">
        <f>'C５级比赛'!U41*30</f>
        <v>1897.22676</v>
      </c>
      <c r="V41" s="16">
        <f>'C５级比赛'!V41*30</f>
        <v>1388.21470243902</v>
      </c>
      <c r="W41" s="16">
        <f>'C５级比赛'!W41*30</f>
        <v>1116.01574117647</v>
      </c>
      <c r="X41" s="16">
        <f>'C５级比赛'!X41*30</f>
        <v>933.062340983607</v>
      </c>
      <c r="Y41" s="16">
        <f>'C５级比赛'!Y41*30</f>
        <v>801.645109859155</v>
      </c>
      <c r="Z41" s="16">
        <f>'C５级比赛'!Z41*30</f>
        <v>702.676577777778</v>
      </c>
      <c r="AA41" s="16">
        <f>'C５级比赛'!AA41*30</f>
        <v>625.459371428571</v>
      </c>
      <c r="AB41" s="16">
        <f>'C５级比赛'!AB41*30</f>
        <v>569.168028</v>
      </c>
      <c r="AC41" s="16">
        <f>'C５级比赛'!AC41*30</f>
        <v>398.0196</v>
      </c>
      <c r="AD41" s="16">
        <f>'C５级比赛'!AD41*30</f>
        <v>341.562919148936</v>
      </c>
      <c r="AE41" s="16">
        <f>'C５级比赛'!AE41*30</f>
        <v>299.132742857143</v>
      </c>
      <c r="AF41" s="25">
        <f>'C５级比赛'!AF41*30</f>
        <v>266.079401104972</v>
      </c>
      <c r="AG41" s="25">
        <f>'C５级比赛'!AG41*30</f>
        <v>239.60383880597</v>
      </c>
      <c r="AH41" s="25">
        <f>'C５级比赛'!AH41*30</f>
        <v>145.455667774086</v>
      </c>
      <c r="AI41" s="25">
        <f>'C５级比赛'!AI41*30</f>
        <v>109.182433915212</v>
      </c>
      <c r="AJ41" s="25">
        <f>'C５级比赛'!AJ41*30</f>
        <v>87.3895329341318</v>
      </c>
      <c r="AK41" s="25">
        <f>'C５级比赛'!AK41*30</f>
        <v>58.2984766977364</v>
      </c>
      <c r="AL41" s="25">
        <f>'C５级比赛'!AL41*30</f>
        <v>43.7384175824176</v>
      </c>
      <c r="AM41" s="25">
        <f>'C５级比赛'!AM41*30</f>
        <v>23.3349265822785</v>
      </c>
      <c r="AN41" s="39">
        <f>'C５级比赛'!AN41*30</f>
        <v>420295.143391566</v>
      </c>
      <c r="AO41" s="27">
        <f>'C５级比赛'!AO41*30</f>
        <v>105.0475239669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</row>
    <row r="42" spans="1:172">
      <c r="A42" s="22" t="s">
        <v>80</v>
      </c>
      <c r="B42" s="16">
        <f>'C５级比赛'!B42*30</f>
        <v>25174.7397</v>
      </c>
      <c r="C42" s="16">
        <f>'C５级比赛'!C42*30</f>
        <v>22909.013127</v>
      </c>
      <c r="D42" s="16">
        <f>'C５级比赛'!D42*30</f>
        <v>20769.1602525</v>
      </c>
      <c r="E42" s="16">
        <f>'C５级比赛'!E42*30</f>
        <v>19384.549569</v>
      </c>
      <c r="F42" s="16">
        <f>'C５级比赛'!F42*30</f>
        <v>16615.328202</v>
      </c>
      <c r="G42" s="16">
        <f>'C５级比赛'!G42*30</f>
        <v>13846.106835</v>
      </c>
      <c r="H42" s="16">
        <f>'C５级比赛'!H42*30</f>
        <v>11868.0915728571</v>
      </c>
      <c r="I42" s="16">
        <f>'C５级比赛'!I42*30</f>
        <v>10384.58012625</v>
      </c>
      <c r="J42" s="16">
        <f>'C５级比赛'!J42*30</f>
        <v>9230.73789</v>
      </c>
      <c r="K42" s="16">
        <f>'C５级比赛'!K42*30</f>
        <v>8307.664101</v>
      </c>
      <c r="L42" s="16">
        <f>'C５级比赛'!L42*30</f>
        <v>7552.42191</v>
      </c>
      <c r="M42" s="16">
        <f>'C５级比赛'!M42*30</f>
        <v>6923.0534175</v>
      </c>
      <c r="N42" s="16">
        <f>'C５级比赛'!N42*30</f>
        <v>6390.51084692308</v>
      </c>
      <c r="O42" s="16">
        <f>'C５级比赛'!O42*30</f>
        <v>5934.04578642857</v>
      </c>
      <c r="P42" s="16">
        <f>'C５级比赛'!P42*30</f>
        <v>5538.442734</v>
      </c>
      <c r="Q42" s="16">
        <f>'C５级比赛'!Q42*30</f>
        <v>5192.290063125</v>
      </c>
      <c r="R42" s="16">
        <f>'C５级比赛'!R42*30</f>
        <v>4615.368945</v>
      </c>
      <c r="S42" s="16">
        <f>'C５级比赛'!S42*30</f>
        <v>4153.8320505</v>
      </c>
      <c r="T42" s="16">
        <f>'C５级比赛'!T42*30</f>
        <v>3195.25542346154</v>
      </c>
      <c r="U42" s="16">
        <f>'C５级比赛'!U42*30</f>
        <v>2769.221367</v>
      </c>
      <c r="V42" s="16">
        <f>'C５级比赛'!V42*30</f>
        <v>2026.25953682927</v>
      </c>
      <c r="W42" s="16">
        <f>'C５级比赛'!W42*30</f>
        <v>1628.95374529412</v>
      </c>
      <c r="X42" s="16">
        <f>'C５级比赛'!X42*30</f>
        <v>1361.91214770492</v>
      </c>
      <c r="Y42" s="16">
        <f>'C５级比赛'!Y42*30</f>
        <v>1170.09353535211</v>
      </c>
      <c r="Z42" s="16">
        <f>'C５级比赛'!Z42*30</f>
        <v>1025.63754333333</v>
      </c>
      <c r="AA42" s="16">
        <f>'C５级比赛'!AA42*30</f>
        <v>912.930120989011</v>
      </c>
      <c r="AB42" s="16">
        <f>'C５级比赛'!AB42*30</f>
        <v>830.7664101</v>
      </c>
      <c r="AC42" s="16">
        <f>'C５级比赛'!AC42*30</f>
        <v>686.58381</v>
      </c>
      <c r="AD42" s="16">
        <f>'C５级比赛'!AD42*30</f>
        <v>589.196035531915</v>
      </c>
      <c r="AE42" s="16">
        <f>'C５级比赛'!AE42*30</f>
        <v>516.003981428571</v>
      </c>
      <c r="AF42" s="25">
        <f>'C５级比赛'!AF42*30</f>
        <v>458.986966906077</v>
      </c>
      <c r="AG42" s="25">
        <f>'C５级比赛'!AG42*30</f>
        <v>413.316621940298</v>
      </c>
      <c r="AH42" s="25">
        <f>'C５级比赛'!AH42*30</f>
        <v>250.911026910299</v>
      </c>
      <c r="AI42" s="25">
        <f>'C５级比赛'!AI42*30</f>
        <v>188.339698503741</v>
      </c>
      <c r="AJ42" s="25">
        <f>'C５级比赛'!AJ42*30</f>
        <v>150.746944311377</v>
      </c>
      <c r="AK42" s="25">
        <f>'C５级比赛'!AK42*30</f>
        <v>83.804060252996</v>
      </c>
      <c r="AL42" s="25">
        <f>'C５级比赛'!AL42*30</f>
        <v>50.2991802197802</v>
      </c>
      <c r="AM42" s="25">
        <f>'C５级比赛'!AM42*30</f>
        <v>33.5439569620253</v>
      </c>
      <c r="AN42" s="25">
        <f>'C５级比赛'!AN42*30</f>
        <v>22.6459427586207</v>
      </c>
      <c r="AO42" s="39">
        <f>'C５级比赛'!AO42*30</f>
        <v>630847.391671926</v>
      </c>
      <c r="AP42" s="27">
        <f>'C５级比赛'!AP42*30</f>
        <v>105.123711326767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</row>
    <row r="43" spans="1:172">
      <c r="A43" s="22" t="s">
        <v>81</v>
      </c>
      <c r="B43" s="16">
        <f>'C５级比赛'!B43*30</f>
        <v>28950.950655</v>
      </c>
      <c r="C43" s="16">
        <f>'C５级比赛'!C43*30</f>
        <v>26345.36509605</v>
      </c>
      <c r="D43" s="16">
        <f>'C５级比赛'!D43*30</f>
        <v>23884.534290375</v>
      </c>
      <c r="E43" s="16">
        <f>'C５级比赛'!E43*30</f>
        <v>22292.23200435</v>
      </c>
      <c r="F43" s="16">
        <f>'C５级比赛'!F43*30</f>
        <v>20844.6844716</v>
      </c>
      <c r="G43" s="16">
        <f>'C５级比赛'!G43*30</f>
        <v>17370.570393</v>
      </c>
      <c r="H43" s="16">
        <f>'C５级比赛'!H43*30</f>
        <v>14889.0603368571</v>
      </c>
      <c r="I43" s="16">
        <f>'C５级比赛'!I43*30</f>
        <v>13027.92779475</v>
      </c>
      <c r="J43" s="16">
        <f>'C５级比赛'!J43*30</f>
        <v>11580.380262</v>
      </c>
      <c r="K43" s="16">
        <f>'C５级比赛'!K43*30</f>
        <v>10422.3422358</v>
      </c>
      <c r="L43" s="16">
        <f>'C５级比赛'!L43*30</f>
        <v>9474.856578</v>
      </c>
      <c r="M43" s="16">
        <f>'C５级比赛'!M43*30</f>
        <v>8685.2851965</v>
      </c>
      <c r="N43" s="16">
        <f>'C５级比赛'!N43*30</f>
        <v>8017.18633523077</v>
      </c>
      <c r="O43" s="16">
        <f>'C５级比赛'!O43*30</f>
        <v>7444.53016842857</v>
      </c>
      <c r="P43" s="16">
        <f>'C５级比赛'!P43*30</f>
        <v>6948.2281572</v>
      </c>
      <c r="Q43" s="16">
        <f>'C５级比赛'!Q43*30</f>
        <v>6513.963897375</v>
      </c>
      <c r="R43" s="16">
        <f>'C５级比赛'!R43*30</f>
        <v>5790.190131</v>
      </c>
      <c r="S43" s="16">
        <f>'C５级比赛'!S43*30</f>
        <v>5211.1711179</v>
      </c>
      <c r="T43" s="16">
        <f>'C５级比赛'!T43*30</f>
        <v>4008.59316761539</v>
      </c>
      <c r="U43" s="16">
        <f>'C５级比赛'!U43*30</f>
        <v>3474.1140786</v>
      </c>
      <c r="V43" s="16">
        <f>'C５级比赛'!V43*30</f>
        <v>2542.03469165854</v>
      </c>
      <c r="W43" s="16">
        <f>'C５级比赛'!W43*30</f>
        <v>2043.59651682353</v>
      </c>
      <c r="X43" s="16">
        <f>'C５级比赛'!X43*30</f>
        <v>1708.58069439344</v>
      </c>
      <c r="Y43" s="16">
        <f>'C５级比赛'!Y43*30</f>
        <v>1467.93552616901</v>
      </c>
      <c r="Z43" s="16">
        <f>'C５级比赛'!Z43*30</f>
        <v>1286.708918</v>
      </c>
      <c r="AA43" s="16">
        <f>'C５级比赛'!AA43*30</f>
        <v>1145.3123336044</v>
      </c>
      <c r="AB43" s="16">
        <f>'C５级比赛'!AB43*30</f>
        <v>1042.23422358</v>
      </c>
      <c r="AC43" s="16">
        <f>'C５级比赛'!AC43*30</f>
        <v>861.350598</v>
      </c>
      <c r="AD43" s="16">
        <f>'C５级比赛'!AD43*30</f>
        <v>718.640619095745</v>
      </c>
      <c r="AE43" s="16">
        <f>'C５级比赛'!AE43*30</f>
        <v>629.3684925</v>
      </c>
      <c r="AF43" s="25">
        <f>'C５级比赛'!AF43*30</f>
        <v>559.825012665746</v>
      </c>
      <c r="AG43" s="25">
        <f>'C５级比赛'!AG43*30</f>
        <v>504.12103130597</v>
      </c>
      <c r="AH43" s="25">
        <f>'C５级比赛'!AH43*30</f>
        <v>317.402449041528</v>
      </c>
      <c r="AI43" s="25">
        <f>'C５级比赛'!AI43*30</f>
        <v>238.249718607232</v>
      </c>
      <c r="AJ43" s="25">
        <f>'C５级比赛'!AJ43*30</f>
        <v>179.137618823353</v>
      </c>
      <c r="AK43" s="25">
        <f>'C５级比赛'!AK43*30</f>
        <v>115.649603149134</v>
      </c>
      <c r="AL43" s="25">
        <f>'C５级比赛'!AL43*30</f>
        <v>86.7660858791209</v>
      </c>
      <c r="AM43" s="25">
        <f>'C５级比赛'!AM43*30</f>
        <v>57.8633257594937</v>
      </c>
      <c r="AN43" s="25">
        <f>'C５级比赛'!AN43*30</f>
        <v>43.4047236206897</v>
      </c>
      <c r="AO43" s="25">
        <f>'C５级比赛'!AO43*30</f>
        <v>27.0118833168944</v>
      </c>
      <c r="AP43" s="39">
        <f>'C５级比赛'!AP43*30</f>
        <v>841992.098245274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</row>
    <row r="44" s="2" customFormat="1" ht="21.6" spans="1:172">
      <c r="A44" s="19" t="s">
        <v>82</v>
      </c>
      <c r="B44" s="13">
        <f>'C５级比赛'!B44*30</f>
        <v>33293.59325325</v>
      </c>
      <c r="C44" s="13">
        <f>'C５级比赛'!C44*30</f>
        <v>30297.1698604575</v>
      </c>
      <c r="D44" s="13">
        <f>'C５级比赛'!D44*30</f>
        <v>27467.2144339312</v>
      </c>
      <c r="E44" s="13">
        <f>'C５级比赛'!E44*30</f>
        <v>25636.0668050025</v>
      </c>
      <c r="F44" s="13">
        <f>'C５级比赛'!F44*30</f>
        <v>23971.38714234</v>
      </c>
      <c r="G44" s="13">
        <f>'C５级比赛'!G44*30</f>
        <v>19976.15595195</v>
      </c>
      <c r="H44" s="13">
        <f>'C５级比赛'!H44*30</f>
        <v>17122.4193873857</v>
      </c>
      <c r="I44" s="13">
        <f>'C５级比赛'!I44*30</f>
        <v>14982.1169639625</v>
      </c>
      <c r="J44" s="13">
        <f>'C５级比赛'!J44*30</f>
        <v>13317.4373013</v>
      </c>
      <c r="K44" s="13">
        <f>'C５级比赛'!K44*30</f>
        <v>11985.69357117</v>
      </c>
      <c r="L44" s="13">
        <f>'C５级比赛'!L44*30</f>
        <v>10896.0850647</v>
      </c>
      <c r="M44" s="13">
        <f>'C５级比赛'!M44*30</f>
        <v>9988.077975975</v>
      </c>
      <c r="N44" s="13">
        <f>'C５级比赛'!N44*30</f>
        <v>9219.76428551538</v>
      </c>
      <c r="O44" s="13">
        <f>'C５级比赛'!O44*30</f>
        <v>8561.20969369286</v>
      </c>
      <c r="P44" s="13">
        <f>'C５级比赛'!P44*30</f>
        <v>7990.46238078</v>
      </c>
      <c r="Q44" s="13">
        <f>'C５级比赛'!Q44*30</f>
        <v>7491.05848198125</v>
      </c>
      <c r="R44" s="13">
        <f>'C５级比赛'!R44*30</f>
        <v>6658.71865065</v>
      </c>
      <c r="S44" s="13">
        <f>'C５级比赛'!S44*30</f>
        <v>5992.846785585</v>
      </c>
      <c r="T44" s="13">
        <f>'C５级比赛'!T44*30</f>
        <v>4609.88214275769</v>
      </c>
      <c r="U44" s="13">
        <f>'C５级比赛'!U44*30</f>
        <v>3995.23119039</v>
      </c>
      <c r="V44" s="13">
        <f>'C５级比赛'!V44*30</f>
        <v>2923.33989540732</v>
      </c>
      <c r="W44" s="13">
        <f>'C５级比赛'!W44*30</f>
        <v>2350.13599434706</v>
      </c>
      <c r="X44" s="13">
        <f>'C５级比赛'!X44*30</f>
        <v>1964.86779855246</v>
      </c>
      <c r="Y44" s="13">
        <f>'C５级比赛'!Y44*30</f>
        <v>1688.12585509437</v>
      </c>
      <c r="Z44" s="13">
        <f>'C５级比赛'!Z44*30</f>
        <v>1479.7152557</v>
      </c>
      <c r="AA44" s="13">
        <f>'C５级比赛'!AA44*30</f>
        <v>1317.10918364506</v>
      </c>
      <c r="AB44" s="13">
        <f>'C５级比赛'!AB44*30</f>
        <v>1198.569357117</v>
      </c>
      <c r="AC44" s="13">
        <f>'C５级比赛'!AC44*30</f>
        <v>990.5531877</v>
      </c>
      <c r="AD44" s="13">
        <f>'C５级比赛'!AD44*30</f>
        <v>850.049189444681</v>
      </c>
      <c r="AE44" s="13">
        <f>'C５级比赛'!AE44*30</f>
        <v>744.453016842857</v>
      </c>
      <c r="AF44" s="29">
        <f>'C５级比赛'!AF44*30</f>
        <v>662.193014981768</v>
      </c>
      <c r="AG44" s="29">
        <f>'C５级比赛'!AG44*30</f>
        <v>596.303162744776</v>
      </c>
      <c r="AH44" s="29">
        <f>'C５级比赛'!AH44*30</f>
        <v>398.195799706645</v>
      </c>
      <c r="AI44" s="29">
        <f>'C５级比赛'!AI44*30</f>
        <v>298.895101525436</v>
      </c>
      <c r="AJ44" s="29">
        <f>'C５级比赛'!AJ44*30</f>
        <v>239.235400622156</v>
      </c>
      <c r="AK44" s="29">
        <f>'C５级比赛'!AK44*30</f>
        <v>159.596452345806</v>
      </c>
      <c r="AL44" s="29">
        <f>'C５级比赛'!AL44*30</f>
        <v>116.411165221154</v>
      </c>
      <c r="AM44" s="29">
        <f>'C５级比赛'!AM44*30</f>
        <v>77.6332953939873</v>
      </c>
      <c r="AN44" s="29">
        <f>'C５级比赛'!AN44*30</f>
        <v>58.2346708577586</v>
      </c>
      <c r="AO44" s="29">
        <f>'C５级比赛'!AO44*30</f>
        <v>38.8295822680357</v>
      </c>
      <c r="AP44" s="29">
        <f>'C５级比赛'!AP44*30</f>
        <v>29.1246129433579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</row>
    <row r="45" spans="1:172">
      <c r="A45" s="22" t="s">
        <v>83</v>
      </c>
      <c r="B45" s="16">
        <f>'C５级比赛'!B45*30</f>
        <v>33293.59325325</v>
      </c>
      <c r="C45" s="16">
        <f>'C５级比赛'!C45*30</f>
        <v>30297.1698604575</v>
      </c>
      <c r="D45" s="16">
        <f>'C５级比赛'!D45*30</f>
        <v>27467.2144339312</v>
      </c>
      <c r="E45" s="16">
        <f>'C５级比赛'!E45*30</f>
        <v>25636.0668050025</v>
      </c>
      <c r="F45" s="16">
        <f>'C５级比赛'!F45*30</f>
        <v>23971.38714234</v>
      </c>
      <c r="G45" s="16">
        <f>'C５级比赛'!G45*30</f>
        <v>19976.15595195</v>
      </c>
      <c r="H45" s="16">
        <f>'C５级比赛'!H45*30</f>
        <v>17122.4193873857</v>
      </c>
      <c r="I45" s="16">
        <f>'C５级比赛'!I45*30</f>
        <v>14982.1169639625</v>
      </c>
      <c r="J45" s="16">
        <f>'C５级比赛'!J45*30</f>
        <v>13317.4373013</v>
      </c>
      <c r="K45" s="16">
        <f>'C５级比赛'!K45*30</f>
        <v>11985.69357117</v>
      </c>
      <c r="L45" s="16">
        <f>'C５级比赛'!L45*30</f>
        <v>10896.0850647</v>
      </c>
      <c r="M45" s="16">
        <f>'C５级比赛'!M45*30</f>
        <v>9988.077975975</v>
      </c>
      <c r="N45" s="16">
        <f>'C５级比赛'!N45*30</f>
        <v>9219.76428551538</v>
      </c>
      <c r="O45" s="16">
        <f>'C５级比赛'!O45*30</f>
        <v>8561.20969369286</v>
      </c>
      <c r="P45" s="16">
        <f>'C５级比赛'!P45*30</f>
        <v>7990.46238078</v>
      </c>
      <c r="Q45" s="16">
        <f>'C５级比赛'!Q45*30</f>
        <v>7491.05848198125</v>
      </c>
      <c r="R45" s="16">
        <f>'C５级比赛'!R45*30</f>
        <v>6658.71865065</v>
      </c>
      <c r="S45" s="16">
        <f>'C５级比赛'!S45*30</f>
        <v>5992.846785585</v>
      </c>
      <c r="T45" s="16">
        <f>'C５级比赛'!T45*30</f>
        <v>4609.88214275769</v>
      </c>
      <c r="U45" s="16">
        <f>'C５级比赛'!U45*30</f>
        <v>3995.23119039</v>
      </c>
      <c r="V45" s="16">
        <f>'C５级比赛'!V45*30</f>
        <v>2923.33989540732</v>
      </c>
      <c r="W45" s="16">
        <f>'C５级比赛'!W45*30</f>
        <v>2350.13599434706</v>
      </c>
      <c r="X45" s="16">
        <f>'C５级比赛'!X45*30</f>
        <v>1964.86779855246</v>
      </c>
      <c r="Y45" s="16">
        <f>'C５级比赛'!Y45*30</f>
        <v>1688.12585509437</v>
      </c>
      <c r="Z45" s="16">
        <f>'C５级比赛'!Z45*30</f>
        <v>1479.7152557</v>
      </c>
      <c r="AA45" s="16">
        <f>'C５级比赛'!AA45*30</f>
        <v>1317.10918364506</v>
      </c>
      <c r="AB45" s="16">
        <f>'C５级比赛'!AB45*30</f>
        <v>1198.569357117</v>
      </c>
      <c r="AC45" s="16">
        <f>'C５级比赛'!AC45*30</f>
        <v>990.5531877</v>
      </c>
      <c r="AD45" s="16">
        <f>'C５级比赛'!AD45*30</f>
        <v>850.049189444681</v>
      </c>
      <c r="AE45" s="16">
        <f>'C５级比赛'!AE45*30</f>
        <v>744.453016842857</v>
      </c>
      <c r="AF45" s="25">
        <f>'C５级比赛'!AF45*30</f>
        <v>662.193014981768</v>
      </c>
      <c r="AG45" s="25">
        <f>'C５级比赛'!AG45*30</f>
        <v>596.303162744776</v>
      </c>
      <c r="AH45" s="25">
        <f>'C５级比赛'!AH45*30</f>
        <v>398.195799706645</v>
      </c>
      <c r="AI45" s="25">
        <f>'C５级比赛'!AI45*30</f>
        <v>298.895101525436</v>
      </c>
      <c r="AJ45" s="25">
        <f>'C５级比赛'!AJ45*30</f>
        <v>239.235400622156</v>
      </c>
      <c r="AK45" s="25">
        <f>'C５级比赛'!AK45*30</f>
        <v>159.596452345806</v>
      </c>
      <c r="AL45" s="25">
        <f>'C５级比赛'!AL45*30</f>
        <v>116.411165221154</v>
      </c>
      <c r="AM45" s="25">
        <f>'C５级比赛'!AM45*30</f>
        <v>77.6332953939873</v>
      </c>
      <c r="AN45" s="25">
        <f>'C５级比赛'!AN45*30</f>
        <v>58.2346708577586</v>
      </c>
      <c r="AO45" s="25">
        <f>'C５级比赛'!AO45*30</f>
        <v>38.8295822680357</v>
      </c>
      <c r="AP45" s="25">
        <f>'C５级比赛'!AP45*30</f>
        <v>29.1246129433579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conditionalFormatting sqref="1:1048576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P67"/>
  <sheetViews>
    <sheetView topLeftCell="A15" workbookViewId="0">
      <selection activeCell="J48" sqref="J48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84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'C５级比赛'!B4*30</f>
        <v>150</v>
      </c>
      <c r="C4" s="38">
        <v>150</v>
      </c>
      <c r="D4" s="15">
        <v>75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'C５级比赛'!B5*30</f>
        <v>180</v>
      </c>
      <c r="C5" s="18">
        <f>'C５级比赛'!C5*30</f>
        <v>126</v>
      </c>
      <c r="D5" s="38">
        <f>'C５级比赛'!D5*30</f>
        <v>306</v>
      </c>
      <c r="E5" s="15">
        <f>'C５级比赛'!E5*30</f>
        <v>76.5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'C５级比赛'!B6*30</f>
        <v>210</v>
      </c>
      <c r="C6" s="18">
        <f>'C５级比赛'!C6*30</f>
        <v>147</v>
      </c>
      <c r="D6" s="16">
        <f>'C５级比赛'!D6*30</f>
        <v>105</v>
      </c>
      <c r="E6" s="38">
        <f>'C５级比赛'!E6*30</f>
        <v>462</v>
      </c>
      <c r="F6" s="15">
        <f>'C５级比赛'!F6*30</f>
        <v>77.0000000000001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172">
      <c r="A7" s="17" t="s">
        <v>45</v>
      </c>
      <c r="B7" s="18">
        <f>'C５级比赛'!B7*30</f>
        <v>255</v>
      </c>
      <c r="C7" s="18">
        <f>'C５级比赛'!C7*30</f>
        <v>178.5</v>
      </c>
      <c r="D7" s="16">
        <f>'C５级比赛'!D7*30</f>
        <v>127.5</v>
      </c>
      <c r="E7" s="16">
        <f>'C５级比赛'!E7*30</f>
        <v>89.25</v>
      </c>
      <c r="F7" s="38">
        <f>'C５级比赛'!F7*30</f>
        <v>650.25</v>
      </c>
      <c r="G7" s="15">
        <f>'C５级比赛'!G7*30</f>
        <v>81.28125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</row>
    <row r="8" s="3" customFormat="1" spans="1:50">
      <c r="A8" s="19" t="s">
        <v>46</v>
      </c>
      <c r="B8" s="13">
        <f>'C５级比赛'!B8*30</f>
        <v>300</v>
      </c>
      <c r="C8" s="13">
        <f>'C５级比赛'!C8*30</f>
        <v>210</v>
      </c>
      <c r="D8" s="13">
        <f>'C５级比赛'!D8*30</f>
        <v>150</v>
      </c>
      <c r="E8" s="13">
        <f>'C５级比赛'!E8*30</f>
        <v>105</v>
      </c>
      <c r="F8" s="13">
        <f>'C５级比赛'!F8*30</f>
        <v>60</v>
      </c>
      <c r="G8" s="38">
        <f>'C５级比赛'!G8*30</f>
        <v>825</v>
      </c>
      <c r="H8" s="15">
        <f>'C５级比赛'!H8*30</f>
        <v>82.5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172">
      <c r="A9" s="17" t="s">
        <v>47</v>
      </c>
      <c r="B9" s="18">
        <f>'C５级比赛'!B9*30</f>
        <v>360</v>
      </c>
      <c r="C9" s="18">
        <f>'C５级比赛'!C9*30</f>
        <v>252</v>
      </c>
      <c r="D9" s="16">
        <f>'C５级比赛'!D9*30</f>
        <v>180</v>
      </c>
      <c r="E9" s="16">
        <f>'C５级比赛'!E9*30</f>
        <v>126</v>
      </c>
      <c r="F9" s="16">
        <f>'C５级比赛'!F9*30</f>
        <v>72</v>
      </c>
      <c r="G9" s="16">
        <f>'C５级比赛'!G9*30</f>
        <v>60</v>
      </c>
      <c r="H9" s="38">
        <f>'C５级比赛'!H9*30</f>
        <v>1050</v>
      </c>
      <c r="I9" s="15">
        <f>'C５级比赛'!I9*30</f>
        <v>87.5000000000001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</row>
    <row r="10" spans="1:172">
      <c r="A10" s="20" t="s">
        <v>48</v>
      </c>
      <c r="B10" s="18">
        <f>'C５级比赛'!B10*30</f>
        <v>405</v>
      </c>
      <c r="C10" s="18">
        <f>'C５级比赛'!C10*30</f>
        <v>283.5</v>
      </c>
      <c r="D10" s="16">
        <f>'C５级比赛'!D10*30</f>
        <v>202.5</v>
      </c>
      <c r="E10" s="16">
        <f>'C５级比赛'!E10*30</f>
        <v>141.75</v>
      </c>
      <c r="F10" s="16">
        <f>'C５级比赛'!F10*30</f>
        <v>81</v>
      </c>
      <c r="G10" s="16">
        <f>'C５级比赛'!G10*30</f>
        <v>67.5</v>
      </c>
      <c r="H10" s="16">
        <f>'C５级比赛'!H10*30</f>
        <v>57.8571428571429</v>
      </c>
      <c r="I10" s="38">
        <f>'C５级比赛'!I10*30</f>
        <v>1239.10714285714</v>
      </c>
      <c r="J10" s="15">
        <f>'C５级比赛'!J10*30</f>
        <v>88.5076530612246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</row>
    <row r="11" spans="1:172">
      <c r="A11" s="20" t="s">
        <v>49</v>
      </c>
      <c r="B11" s="18">
        <f>'C５级比赛'!B11*30</f>
        <v>465</v>
      </c>
      <c r="C11" s="18">
        <f>'C５级比赛'!C11*30</f>
        <v>325.5</v>
      </c>
      <c r="D11" s="16">
        <f>'C５级比赛'!D11*30</f>
        <v>232.5</v>
      </c>
      <c r="E11" s="16">
        <f>'C５级比赛'!E11*30</f>
        <v>162.75</v>
      </c>
      <c r="F11" s="16">
        <f>'C５级比赛'!F11*30</f>
        <v>93</v>
      </c>
      <c r="G11" s="16">
        <f>'C５级比赛'!G11*30</f>
        <v>77.4999999999999</v>
      </c>
      <c r="H11" s="16">
        <f>'C５级比赛'!H11*30</f>
        <v>66.4285714285713</v>
      </c>
      <c r="I11" s="16">
        <f>'C５级比赛'!I11*30</f>
        <v>58.125</v>
      </c>
      <c r="J11" s="38">
        <f>'C５级比赛'!J11*30</f>
        <v>1480.80357142857</v>
      </c>
      <c r="K11" s="15">
        <f>'C５级比赛'!K11*30</f>
        <v>92.5502232142857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</row>
    <row r="12" spans="1:172">
      <c r="A12" s="20" t="s">
        <v>50</v>
      </c>
      <c r="B12" s="18">
        <f>'C５级比赛'!B12*30</f>
        <v>510</v>
      </c>
      <c r="C12" s="18">
        <f>'C５级比赛'!C12*30</f>
        <v>357</v>
      </c>
      <c r="D12" s="16">
        <f>'C５级比赛'!D12*30</f>
        <v>255</v>
      </c>
      <c r="E12" s="16">
        <f>'C５级比赛'!E12*30</f>
        <v>178.5</v>
      </c>
      <c r="F12" s="16">
        <f>'C５级比赛'!F12*30</f>
        <v>102</v>
      </c>
      <c r="G12" s="16">
        <f>'C５级比赛'!G12*30</f>
        <v>84.9999999999999</v>
      </c>
      <c r="H12" s="16">
        <f>'C５级比赛'!H12*30</f>
        <v>72.8571428571429</v>
      </c>
      <c r="I12" s="16">
        <f>'C５级比赛'!I12*30</f>
        <v>63.75</v>
      </c>
      <c r="J12" s="16">
        <f>'C５级比赛'!J12*30</f>
        <v>56.6666666666667</v>
      </c>
      <c r="K12" s="38">
        <f>'C５级比赛'!K12*30</f>
        <v>1680.77380952381</v>
      </c>
      <c r="L12" s="15">
        <f>'C５级比赛'!L12*30</f>
        <v>93.3763227513228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</row>
    <row r="13" s="3" customFormat="1" spans="1:50">
      <c r="A13" s="21" t="s">
        <v>51</v>
      </c>
      <c r="B13" s="18">
        <f>'C５级比赛'!B13*30</f>
        <v>555</v>
      </c>
      <c r="C13" s="18">
        <f>'C５级比赛'!C13*30</f>
        <v>388.5</v>
      </c>
      <c r="D13" s="16">
        <f>'C５级比赛'!D13*30</f>
        <v>277.5</v>
      </c>
      <c r="E13" s="16">
        <f>'C５级比赛'!E13*30</f>
        <v>194.25</v>
      </c>
      <c r="F13" s="16">
        <f>'C５级比赛'!F13*30</f>
        <v>111</v>
      </c>
      <c r="G13" s="16">
        <f>'C５级比赛'!G13*30</f>
        <v>92.4999999999999</v>
      </c>
      <c r="H13" s="16">
        <f>'C５级比赛'!H13*30</f>
        <v>79.2857142857142</v>
      </c>
      <c r="I13" s="16">
        <f>'C５级比赛'!I13*30</f>
        <v>69.375</v>
      </c>
      <c r="J13" s="16">
        <f>'C５级比赛'!J13*30</f>
        <v>61.6666666666668</v>
      </c>
      <c r="K13" s="16">
        <f>'C５级比赛'!K13*30</f>
        <v>55.5</v>
      </c>
      <c r="L13" s="38">
        <f>'C５级比赛'!L13*30</f>
        <v>1884.57738095238</v>
      </c>
      <c r="M13" s="15">
        <f>'C５级比赛'!M13*30</f>
        <v>94.228869047619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72">
      <c r="A14" s="20" t="s">
        <v>52</v>
      </c>
      <c r="B14" s="18">
        <f>'C５级比赛'!B14*30</f>
        <v>600</v>
      </c>
      <c r="C14" s="18">
        <f>'C５级比赛'!C14*30</f>
        <v>420</v>
      </c>
      <c r="D14" s="16">
        <f>'C５级比赛'!D14*30</f>
        <v>300</v>
      </c>
      <c r="E14" s="16">
        <f>'C５级比赛'!E14*30</f>
        <v>210</v>
      </c>
      <c r="F14" s="16">
        <f>'C５级比赛'!F14*30</f>
        <v>120</v>
      </c>
      <c r="G14" s="16">
        <f>'C５级比赛'!G14*30</f>
        <v>99.9999999999999</v>
      </c>
      <c r="H14" s="16">
        <f>'C５级比赛'!H14*30</f>
        <v>85.7142857142858</v>
      </c>
      <c r="I14" s="16">
        <f>'C５级比赛'!I14*30</f>
        <v>75</v>
      </c>
      <c r="J14" s="16">
        <f>'C５级比赛'!J14*30</f>
        <v>66.6666666666666</v>
      </c>
      <c r="K14" s="16">
        <f>'C５级比赛'!K14*30</f>
        <v>60</v>
      </c>
      <c r="L14" s="16">
        <f>'C５级比赛'!L14*30</f>
        <v>54.5454545454546</v>
      </c>
      <c r="M14" s="38">
        <f>'C５级比赛'!M14*30</f>
        <v>2091.92640692641</v>
      </c>
      <c r="N14" s="15">
        <f>'C５级比赛'!N14*30</f>
        <v>95.0875639512003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72">
      <c r="A15" s="20" t="s">
        <v>53</v>
      </c>
      <c r="B15" s="18">
        <f>'C５级比赛'!B15*30</f>
        <v>645</v>
      </c>
      <c r="C15" s="18">
        <f>'C５级比赛'!C15*30</f>
        <v>451.5</v>
      </c>
      <c r="D15" s="16">
        <f>'C５级比赛'!D15*30</f>
        <v>322.5</v>
      </c>
      <c r="E15" s="16">
        <f>'C５级比赛'!E15*30</f>
        <v>225.75</v>
      </c>
      <c r="F15" s="16">
        <f>'C５级比赛'!F15*30</f>
        <v>129</v>
      </c>
      <c r="G15" s="16">
        <f>'C５级比赛'!G15*30</f>
        <v>107.5</v>
      </c>
      <c r="H15" s="16">
        <f>'C５级比赛'!H15*30</f>
        <v>92.1428571428572</v>
      </c>
      <c r="I15" s="16">
        <f>'C５级比赛'!I15*30</f>
        <v>80.625</v>
      </c>
      <c r="J15" s="16">
        <f>'C５级比赛'!J15*30</f>
        <v>71.6666666666667</v>
      </c>
      <c r="K15" s="16">
        <f>'C５级比赛'!K15*30</f>
        <v>64.5</v>
      </c>
      <c r="L15" s="16">
        <f>'C５级比赛'!L15*30</f>
        <v>58.6363636363635</v>
      </c>
      <c r="M15" s="16">
        <f>'C５级比赛'!M15*30</f>
        <v>53.7500000000001</v>
      </c>
      <c r="N15" s="38">
        <f>'C５级比赛'!N15*30</f>
        <v>2302.57088744589</v>
      </c>
      <c r="O15" s="15">
        <f>'C５级比赛'!O15*30</f>
        <v>95.9404536435786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72">
      <c r="A16" s="20" t="s">
        <v>54</v>
      </c>
      <c r="B16" s="18">
        <f>'C５级比赛'!B16*30</f>
        <v>684</v>
      </c>
      <c r="C16" s="18">
        <f>'C５级比赛'!C16*30</f>
        <v>478.8</v>
      </c>
      <c r="D16" s="16">
        <f>'C５级比赛'!D16*30</f>
        <v>342</v>
      </c>
      <c r="E16" s="16">
        <f>'C５级比赛'!E16*30</f>
        <v>239.4</v>
      </c>
      <c r="F16" s="16">
        <f>'C５级比赛'!F16*30</f>
        <v>136.8</v>
      </c>
      <c r="G16" s="16">
        <f>'C５级比赛'!G16*30</f>
        <v>114</v>
      </c>
      <c r="H16" s="16">
        <f>'C５级比赛'!H16*30</f>
        <v>97.7142857142857</v>
      </c>
      <c r="I16" s="16">
        <f>'C５级比赛'!I16*30</f>
        <v>85.5</v>
      </c>
      <c r="J16" s="16">
        <f>'C５级比赛'!J16*30</f>
        <v>75.9999999999999</v>
      </c>
      <c r="K16" s="16">
        <f>'C５级比赛'!K16*30</f>
        <v>68.4</v>
      </c>
      <c r="L16" s="16">
        <f>'C５级比赛'!L16*30</f>
        <v>62.1818181818181</v>
      </c>
      <c r="M16" s="16">
        <f>'C５级比赛'!M16*30</f>
        <v>57</v>
      </c>
      <c r="N16" s="16">
        <f>'C５级比赛'!N16*30</f>
        <v>52.6153846153845</v>
      </c>
      <c r="O16" s="38">
        <f>'C５级比赛'!O16*30</f>
        <v>2494.41148851149</v>
      </c>
      <c r="P16" s="15">
        <f>'C５级比赛'!P16*30</f>
        <v>95.938903404288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</row>
    <row r="17" spans="1:172">
      <c r="A17" s="20" t="s">
        <v>55</v>
      </c>
      <c r="B17" s="18">
        <f>'C５级比赛'!B17*30</f>
        <v>732</v>
      </c>
      <c r="C17" s="18">
        <f>'C５级比赛'!C17*30</f>
        <v>512.4</v>
      </c>
      <c r="D17" s="16">
        <f>'C５级比赛'!D17*30</f>
        <v>366</v>
      </c>
      <c r="E17" s="16">
        <f>'C５级比赛'!E17*30</f>
        <v>256.2</v>
      </c>
      <c r="F17" s="16">
        <f>'C５级比赛'!F17*30</f>
        <v>146.4</v>
      </c>
      <c r="G17" s="16">
        <f>'C５级比赛'!G17*30</f>
        <v>122</v>
      </c>
      <c r="H17" s="16">
        <f>'C５级比赛'!H17*30</f>
        <v>104.571428571429</v>
      </c>
      <c r="I17" s="16">
        <f>'C５级比赛'!I17*30</f>
        <v>91.5</v>
      </c>
      <c r="J17" s="16">
        <f>'C５级比赛'!J17*30</f>
        <v>81.3333333333333</v>
      </c>
      <c r="K17" s="16">
        <f>'C５级比赛'!K17*30</f>
        <v>73.2</v>
      </c>
      <c r="L17" s="16">
        <f>'C５级比赛'!L17*30</f>
        <v>66.5454545454546</v>
      </c>
      <c r="M17" s="16">
        <f>'C５级比赛'!M17*30</f>
        <v>60.9999999999999</v>
      </c>
      <c r="N17" s="16">
        <f>'C５级比赛'!N17*30</f>
        <v>56.3076923076924</v>
      </c>
      <c r="O17" s="16">
        <f>'C５级比赛'!O17*30</f>
        <v>52.2857142857142</v>
      </c>
      <c r="P17" s="38">
        <f>'C５级比赛'!P17*30</f>
        <v>2721.74362304362</v>
      </c>
      <c r="Q17" s="15">
        <f>'C５级比赛'!Q17*30</f>
        <v>97.2051293944151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</row>
    <row r="18" spans="1:172">
      <c r="A18" s="20" t="s">
        <v>56</v>
      </c>
      <c r="B18" s="18">
        <f>'C５级比赛'!B18*30</f>
        <v>780</v>
      </c>
      <c r="C18" s="18">
        <f>'C５级比赛'!C18*30</f>
        <v>546</v>
      </c>
      <c r="D18" s="16">
        <f>'C５级比赛'!D18*30</f>
        <v>390</v>
      </c>
      <c r="E18" s="16">
        <f>'C５级比赛'!E18*30</f>
        <v>273</v>
      </c>
      <c r="F18" s="16">
        <f>'C５级比赛'!F18*30</f>
        <v>156</v>
      </c>
      <c r="G18" s="16">
        <f>'C５级比赛'!G18*30</f>
        <v>130</v>
      </c>
      <c r="H18" s="16">
        <f>'C５级比赛'!H18*30</f>
        <v>111.428571428571</v>
      </c>
      <c r="I18" s="16">
        <f>'C５级比赛'!I18*30</f>
        <v>97.5</v>
      </c>
      <c r="J18" s="16">
        <f>'C５级比赛'!J18*30</f>
        <v>86.6666666666667</v>
      </c>
      <c r="K18" s="16">
        <f>'C５级比赛'!K18*30</f>
        <v>78</v>
      </c>
      <c r="L18" s="16">
        <f>'C５级比赛'!L18*30</f>
        <v>70.9090909090908</v>
      </c>
      <c r="M18" s="16">
        <f>'C５级比赛'!M18*30</f>
        <v>65.0000000000001</v>
      </c>
      <c r="N18" s="16">
        <f>'C５级比赛'!N18*30</f>
        <v>60</v>
      </c>
      <c r="O18" s="16">
        <f>'C５级比赛'!O18*30</f>
        <v>55.7142857142858</v>
      </c>
      <c r="P18" s="16">
        <f>'C５级比赛'!P18*30</f>
        <v>51.9999999999999</v>
      </c>
      <c r="Q18" s="38">
        <f>'C５级比赛'!Q18*30</f>
        <v>2952.21861471861</v>
      </c>
      <c r="R18" s="15">
        <f>'C５级比赛'!R18*30</f>
        <v>98.4072871572871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</row>
    <row r="19" spans="1:172">
      <c r="A19" s="20" t="s">
        <v>57</v>
      </c>
      <c r="B19" s="18">
        <f>'C５级比赛'!B19*30</f>
        <v>885</v>
      </c>
      <c r="C19" s="18">
        <f>'C５级比赛'!C19*30</f>
        <v>619.5</v>
      </c>
      <c r="D19" s="16">
        <f>'C５级比赛'!D19*30</f>
        <v>442.5</v>
      </c>
      <c r="E19" s="16">
        <f>'C５级比赛'!E19*30</f>
        <v>309.75</v>
      </c>
      <c r="F19" s="16">
        <f>'C５级比赛'!F19*30</f>
        <v>177</v>
      </c>
      <c r="G19" s="16">
        <f>'C５级比赛'!G19*30</f>
        <v>147.5</v>
      </c>
      <c r="H19" s="16">
        <f>'C５级比赛'!H19*30</f>
        <v>126.428571428571</v>
      </c>
      <c r="I19" s="16">
        <f>'C５级比赛'!I19*30</f>
        <v>110.625</v>
      </c>
      <c r="J19" s="16">
        <f>'C５级比赛'!J19*30</f>
        <v>98.3333333333334</v>
      </c>
      <c r="K19" s="16">
        <f>'C５级比赛'!K19*30</f>
        <v>88.5</v>
      </c>
      <c r="L19" s="16">
        <f>'C５级比赛'!L19*30</f>
        <v>80.4545454545454</v>
      </c>
      <c r="M19" s="16">
        <f>'C５级比赛'!M19*30</f>
        <v>73.7499999999999</v>
      </c>
      <c r="N19" s="16">
        <f>'C５级比赛'!N19*30</f>
        <v>68.0769230769231</v>
      </c>
      <c r="O19" s="16">
        <f>'C５级比赛'!O19*30</f>
        <v>63.2142857142858</v>
      </c>
      <c r="P19" s="16">
        <f>'C５级比赛'!P19*30</f>
        <v>59.0000000000001</v>
      </c>
      <c r="Q19" s="16">
        <f>'C５级比赛'!Q19*30</f>
        <v>55.3125</v>
      </c>
      <c r="R19" s="38">
        <f>'C５级比赛'!R19*30</f>
        <v>3460.25765900766</v>
      </c>
      <c r="S19" s="15">
        <f>'C５级比赛'!S19*30</f>
        <v>98.864504543076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</row>
    <row r="20" spans="1:172">
      <c r="A20" s="20" t="s">
        <v>58</v>
      </c>
      <c r="B20" s="18">
        <f>'C５级比赛'!B20*30</f>
        <v>1005</v>
      </c>
      <c r="C20" s="18">
        <f>'C５级比赛'!C20*30</f>
        <v>703.5</v>
      </c>
      <c r="D20" s="16">
        <f>'C５级比赛'!D20*30</f>
        <v>502.5</v>
      </c>
      <c r="E20" s="16">
        <f>'C５级比赛'!E20*30</f>
        <v>351.75</v>
      </c>
      <c r="F20" s="16">
        <f>'C５级比赛'!F20*30</f>
        <v>201</v>
      </c>
      <c r="G20" s="16">
        <f>'C５级比赛'!G20*30</f>
        <v>167.5</v>
      </c>
      <c r="H20" s="16">
        <f>'C５级比赛'!H20*30</f>
        <v>143.571428571429</v>
      </c>
      <c r="I20" s="16">
        <f>'C５级比赛'!I20*30</f>
        <v>125.625</v>
      </c>
      <c r="J20" s="16">
        <f>'C５级比赛'!J20*30</f>
        <v>111.666666666667</v>
      </c>
      <c r="K20" s="16">
        <f>'C５级比赛'!K20*30</f>
        <v>100.5</v>
      </c>
      <c r="L20" s="16">
        <f>'C５级比赛'!L20*30</f>
        <v>91.3636363636365</v>
      </c>
      <c r="M20" s="16">
        <f>'C５级比赛'!M20*30</f>
        <v>83.7500000000001</v>
      </c>
      <c r="N20" s="16">
        <f>'C５级比赛'!N20*30</f>
        <v>77.3076923076924</v>
      </c>
      <c r="O20" s="16">
        <f>'C５级比赛'!O20*30</f>
        <v>71.7857142857142</v>
      </c>
      <c r="P20" s="16">
        <f>'C５级比赛'!P20*30</f>
        <v>66.9999999999999</v>
      </c>
      <c r="Q20" s="16">
        <f>'C５级比赛'!Q20*30</f>
        <v>62.8125</v>
      </c>
      <c r="R20" s="16">
        <f>'C５级比赛'!R20*30</f>
        <v>55.8333333333333</v>
      </c>
      <c r="S20" s="38">
        <f>'C５级比赛'!S20*30</f>
        <v>4096.94513819514</v>
      </c>
      <c r="T20" s="15">
        <f>'C５级比赛'!T20*30</f>
        <v>99.9254911754912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</row>
    <row r="21" spans="1:172">
      <c r="A21" s="20" t="s">
        <v>59</v>
      </c>
      <c r="B21" s="18">
        <f>'C５级比赛'!B21*30</f>
        <v>1179</v>
      </c>
      <c r="C21" s="18">
        <f>'C５级比赛'!C21*30</f>
        <v>828</v>
      </c>
      <c r="D21" s="16">
        <f>'C５级比赛'!D21*30</f>
        <v>589.5</v>
      </c>
      <c r="E21" s="16">
        <f>'C５级比赛'!E21*30</f>
        <v>412.65</v>
      </c>
      <c r="F21" s="16">
        <f>'C５级比赛'!F21*30</f>
        <v>235.8</v>
      </c>
      <c r="G21" s="16">
        <f>'C５级比赛'!G21*30</f>
        <v>196.5</v>
      </c>
      <c r="H21" s="16">
        <f>'C５级比赛'!H21*30</f>
        <v>168.428571428571</v>
      </c>
      <c r="I21" s="16">
        <f>'C５级比赛'!I21*30</f>
        <v>147.375</v>
      </c>
      <c r="J21" s="16">
        <f>'C５级比赛'!J21*30</f>
        <v>131</v>
      </c>
      <c r="K21" s="16">
        <f>'C５级比赛'!K21*30</f>
        <v>117.9</v>
      </c>
      <c r="L21" s="16">
        <f>'C５级比赛'!L21*30</f>
        <v>107.181818181818</v>
      </c>
      <c r="M21" s="16">
        <f>'C５级比赛'!M21*30</f>
        <v>98.25</v>
      </c>
      <c r="N21" s="16">
        <f>'C５级比赛'!N21*30</f>
        <v>90.6923076923076</v>
      </c>
      <c r="O21" s="16">
        <f>'C５级比赛'!O21*30</f>
        <v>84.2142857142858</v>
      </c>
      <c r="P21" s="16">
        <f>'C５级比赛'!P21*30</f>
        <v>78.6</v>
      </c>
      <c r="Q21" s="16">
        <f>'C５级比赛'!Q21*30</f>
        <v>73.6875</v>
      </c>
      <c r="R21" s="16">
        <f>'C５级比赛'!R21*30</f>
        <v>65.5</v>
      </c>
      <c r="S21" s="16">
        <f>'C５级比赛'!S21*30</f>
        <v>58.95</v>
      </c>
      <c r="T21" s="38">
        <f>'C５级比赛'!T21*30</f>
        <v>5103.71698301698</v>
      </c>
      <c r="U21" s="15">
        <f>'C５级比赛'!U21*30</f>
        <v>100.072882019941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72">
      <c r="A22" s="17" t="s">
        <v>60</v>
      </c>
      <c r="B22" s="18">
        <f>'C５级比赛'!B22*30</f>
        <v>1356</v>
      </c>
      <c r="C22" s="18">
        <f>'C５级比赛'!C22*30</f>
        <v>949.2</v>
      </c>
      <c r="D22" s="16">
        <f>'C５级比赛'!D22*30</f>
        <v>678</v>
      </c>
      <c r="E22" s="16">
        <f>'C５级比赛'!E22*30</f>
        <v>474.6</v>
      </c>
      <c r="F22" s="16">
        <f>'C５级比赛'!F22*30</f>
        <v>271.2</v>
      </c>
      <c r="G22" s="16">
        <f>'C５级比赛'!G22*30</f>
        <v>226</v>
      </c>
      <c r="H22" s="16">
        <f>'C５级比赛'!H22*30</f>
        <v>193.714285714286</v>
      </c>
      <c r="I22" s="16">
        <f>'C５级比赛'!I22*30</f>
        <v>169.5</v>
      </c>
      <c r="J22" s="16">
        <f>'C５级比赛'!J22*30</f>
        <v>150.666666666667</v>
      </c>
      <c r="K22" s="16">
        <f>'C５级比赛'!K22*30</f>
        <v>135.6</v>
      </c>
      <c r="L22" s="16">
        <f>'C５级比赛'!L22*30</f>
        <v>123.272727272727</v>
      </c>
      <c r="M22" s="16">
        <f>'C５级比赛'!M22*30</f>
        <v>113</v>
      </c>
      <c r="N22" s="16">
        <f>'C５级比赛'!N22*30</f>
        <v>104.307692307692</v>
      </c>
      <c r="O22" s="16">
        <f>'C５级比赛'!O22*30</f>
        <v>96.8571428571429</v>
      </c>
      <c r="P22" s="16">
        <f>'C５级比赛'!P22*30</f>
        <v>90.3999999999999</v>
      </c>
      <c r="Q22" s="16">
        <f>'C５级比赛'!Q22*30</f>
        <v>84.75</v>
      </c>
      <c r="R22" s="16">
        <f>'C５级比赛'!R22*30</f>
        <v>75.3333333333333</v>
      </c>
      <c r="S22" s="16">
        <f>'C５级比赛'!S22*30</f>
        <v>67.8</v>
      </c>
      <c r="T22" s="16">
        <f>'C５级比赛'!T22*30</f>
        <v>52.1538461538462</v>
      </c>
      <c r="U22" s="38">
        <f>'C５级比赛'!U22*30</f>
        <v>6127.58774558775</v>
      </c>
      <c r="V22" s="15">
        <f>'C５级比赛'!V22*30</f>
        <v>100.452258124389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72">
      <c r="A23" s="17" t="s">
        <v>61</v>
      </c>
      <c r="B23" s="18">
        <f>'C５级比赛'!B23*30</f>
        <v>1680</v>
      </c>
      <c r="C23" s="18">
        <f>'C５级比赛'!C23*30</f>
        <v>1176</v>
      </c>
      <c r="D23" s="16">
        <f>'C５级比赛'!D23*30</f>
        <v>840</v>
      </c>
      <c r="E23" s="16">
        <f>'C５级比赛'!E23*30</f>
        <v>588</v>
      </c>
      <c r="F23" s="16">
        <f>'C５级比赛'!F23*30</f>
        <v>336</v>
      </c>
      <c r="G23" s="16">
        <f>'C５级比赛'!G23*30</f>
        <v>280</v>
      </c>
      <c r="H23" s="16">
        <f>'C５级比赛'!H23*30</f>
        <v>240</v>
      </c>
      <c r="I23" s="16">
        <f>'C５级比赛'!I23*30</f>
        <v>210</v>
      </c>
      <c r="J23" s="16">
        <f>'C５级比赛'!J23*30</f>
        <v>186.666666666667</v>
      </c>
      <c r="K23" s="16">
        <f>'C５级比赛'!K23*30</f>
        <v>168</v>
      </c>
      <c r="L23" s="16">
        <f>'C５级比赛'!L23*30</f>
        <v>152.727272727273</v>
      </c>
      <c r="M23" s="16">
        <f>'C５级比赛'!M23*30</f>
        <v>140</v>
      </c>
      <c r="N23" s="16">
        <f>'C５级比赛'!N23*30</f>
        <v>129.230769230769</v>
      </c>
      <c r="O23" s="16">
        <f>'C５级比赛'!O23*30</f>
        <v>120</v>
      </c>
      <c r="P23" s="16">
        <f>'C５级比赛'!P23*30</f>
        <v>112</v>
      </c>
      <c r="Q23" s="16">
        <f>'C５级比赛'!Q23*30</f>
        <v>105</v>
      </c>
      <c r="R23" s="16">
        <f>'C５级比赛'!R23*30</f>
        <v>93.3333333333333</v>
      </c>
      <c r="S23" s="16">
        <f>'C５级比赛'!S23*30</f>
        <v>84</v>
      </c>
      <c r="T23" s="16">
        <f>'C５级比赛'!T23*30</f>
        <v>64.6153846153845</v>
      </c>
      <c r="U23" s="16">
        <f>'C５级比赛'!U23*30</f>
        <v>56.0000000000001</v>
      </c>
      <c r="V23" s="38">
        <f>'C５级比赛'!V23*30</f>
        <v>8151.70163170163</v>
      </c>
      <c r="W23" s="15">
        <f>'C５级比赛'!W23*30</f>
        <v>100.638291749403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</row>
    <row r="24" s="2" customFormat="1" spans="1:172">
      <c r="A24" s="19" t="s">
        <v>62</v>
      </c>
      <c r="B24" s="13">
        <f>'C５级比赛'!B24*30</f>
        <v>2070</v>
      </c>
      <c r="C24" s="13">
        <f>'C５级比赛'!C24*30</f>
        <v>1449</v>
      </c>
      <c r="D24" s="13">
        <f>'C５级比赛'!D24*30</f>
        <v>1035</v>
      </c>
      <c r="E24" s="13">
        <f>'C５级比赛'!E24*30</f>
        <v>724.5</v>
      </c>
      <c r="F24" s="13">
        <f>'C５级比赛'!F24*30</f>
        <v>414</v>
      </c>
      <c r="G24" s="13">
        <f>'C５级比赛'!G24*30</f>
        <v>345</v>
      </c>
      <c r="H24" s="13">
        <f>'C５级比赛'!H24*30</f>
        <v>295.714285714286</v>
      </c>
      <c r="I24" s="13">
        <f>'C５级比赛'!I24*30</f>
        <v>258.75</v>
      </c>
      <c r="J24" s="13">
        <f>'C５级比赛'!J24*30</f>
        <v>230</v>
      </c>
      <c r="K24" s="13">
        <f>'C５级比赛'!K24*30</f>
        <v>207</v>
      </c>
      <c r="L24" s="13">
        <f>'C５级比赛'!L24*30</f>
        <v>188.181818181818</v>
      </c>
      <c r="M24" s="13">
        <f>'C５级比赛'!M24*30</f>
        <v>172.5</v>
      </c>
      <c r="N24" s="13">
        <f>'C５级比赛'!N24*30</f>
        <v>159.230769230769</v>
      </c>
      <c r="O24" s="13">
        <f>'C５级比赛'!O24*30</f>
        <v>147.857142857143</v>
      </c>
      <c r="P24" s="13">
        <f>'C５级比赛'!P24*30</f>
        <v>138</v>
      </c>
      <c r="Q24" s="13">
        <f>'C５级比赛'!Q24*30</f>
        <v>129.375</v>
      </c>
      <c r="R24" s="13">
        <f>'C５级比赛'!R24*30</f>
        <v>115</v>
      </c>
      <c r="S24" s="13">
        <f>'C５级比赛'!S24*30</f>
        <v>103.5</v>
      </c>
      <c r="T24" s="13">
        <f>'C５级比赛'!T24*30</f>
        <v>79.6153846153845</v>
      </c>
      <c r="U24" s="13">
        <f>'C５级比赛'!U24*30</f>
        <v>69</v>
      </c>
      <c r="V24" s="13">
        <f>'C５级比赛'!V24*30</f>
        <v>50.4878048780488</v>
      </c>
      <c r="W24" s="38">
        <f>'C５级比赛'!W24*30</f>
        <v>10548.9389878414</v>
      </c>
      <c r="X24" s="15">
        <f>'C５级比赛'!X24*30</f>
        <v>104.444940473678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  <c r="AR24" s="24"/>
      <c r="AS24" s="24"/>
      <c r="AT24" s="24"/>
      <c r="AU24" s="24"/>
      <c r="AV24" s="24"/>
      <c r="AW24" s="24"/>
      <c r="AX24" s="24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</row>
    <row r="25" spans="1:172">
      <c r="A25" s="22" t="s">
        <v>63</v>
      </c>
      <c r="B25" s="16">
        <f>'C５级比赛'!B25*30</f>
        <v>2388</v>
      </c>
      <c r="C25" s="16">
        <f>'C５级比赛'!C25*30</f>
        <v>1671.6</v>
      </c>
      <c r="D25" s="16">
        <f>'C５级比赛'!D25*30</f>
        <v>1194</v>
      </c>
      <c r="E25" s="16">
        <f>'C５级比赛'!E25*30</f>
        <v>835.8</v>
      </c>
      <c r="F25" s="16">
        <f>'C５级比赛'!F25*30</f>
        <v>477.6</v>
      </c>
      <c r="G25" s="16">
        <f>'C５级比赛'!G25*30</f>
        <v>398</v>
      </c>
      <c r="H25" s="16">
        <f>'C５级比赛'!H25*30</f>
        <v>341.142857142857</v>
      </c>
      <c r="I25" s="16">
        <f>'C５级比赛'!I25*30</f>
        <v>298.5</v>
      </c>
      <c r="J25" s="16">
        <f>'C５级比赛'!J25*30</f>
        <v>265.333333333333</v>
      </c>
      <c r="K25" s="16">
        <f>'C５级比赛'!K25*30</f>
        <v>238.8</v>
      </c>
      <c r="L25" s="16">
        <f>'C５级比赛'!L25*30</f>
        <v>217.090909090909</v>
      </c>
      <c r="M25" s="16">
        <f>'C５级比赛'!M25*30</f>
        <v>199</v>
      </c>
      <c r="N25" s="16">
        <f>'C５级比赛'!N25*30</f>
        <v>183.692307692308</v>
      </c>
      <c r="O25" s="16">
        <f>'C５级比赛'!O25*30</f>
        <v>170.571428571429</v>
      </c>
      <c r="P25" s="16">
        <f>'C５级比赛'!P25*30</f>
        <v>159.2</v>
      </c>
      <c r="Q25" s="16">
        <f>'C５级比赛'!Q25*30</f>
        <v>149.25</v>
      </c>
      <c r="R25" s="16">
        <f>'C５级比赛'!R25*30</f>
        <v>132.666666666667</v>
      </c>
      <c r="S25" s="16">
        <f>'C５级比赛'!S25*30</f>
        <v>119.4</v>
      </c>
      <c r="T25" s="16">
        <f>'C５级比赛'!T25*30</f>
        <v>91.8461538461538</v>
      </c>
      <c r="U25" s="16">
        <f>'C５级比赛'!U25*30</f>
        <v>79.6</v>
      </c>
      <c r="V25" s="16">
        <f>'C５级比赛'!V25*30</f>
        <v>58.2439024390244</v>
      </c>
      <c r="W25" s="16">
        <f>'C５级比赛'!W25*30</f>
        <v>46.8235294117647</v>
      </c>
      <c r="X25" s="38">
        <f>'C５级比赛'!X25*30</f>
        <v>12637.7359235695</v>
      </c>
      <c r="Y25" s="15">
        <f>'C５级比赛'!Y25*30</f>
        <v>104.444098541897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</row>
    <row r="26" spans="1:172">
      <c r="A26" s="22" t="s">
        <v>64</v>
      </c>
      <c r="B26" s="16">
        <f>'C５级比赛'!B26*30</f>
        <v>2700</v>
      </c>
      <c r="C26" s="16">
        <f>'C５级比赛'!C26*30</f>
        <v>1890</v>
      </c>
      <c r="D26" s="16">
        <f>'C５级比赛'!D26*30</f>
        <v>1350</v>
      </c>
      <c r="E26" s="16">
        <f>'C５级比赛'!E26*30</f>
        <v>945</v>
      </c>
      <c r="F26" s="16">
        <f>'C５级比赛'!F26*30</f>
        <v>540</v>
      </c>
      <c r="G26" s="16">
        <f>'C５级比赛'!G26*30</f>
        <v>450</v>
      </c>
      <c r="H26" s="16">
        <f>'C５级比赛'!H26*30</f>
        <v>385.714285714286</v>
      </c>
      <c r="I26" s="16">
        <f>'C５级比赛'!I26*30</f>
        <v>337.5</v>
      </c>
      <c r="J26" s="16">
        <f>'C５级比赛'!J26*30</f>
        <v>300</v>
      </c>
      <c r="K26" s="16">
        <f>'C５级比赛'!K26*30</f>
        <v>270</v>
      </c>
      <c r="L26" s="16">
        <f>'C５级比赛'!L26*30</f>
        <v>245.454545454545</v>
      </c>
      <c r="M26" s="16">
        <f>'C５级比赛'!M26*30</f>
        <v>225</v>
      </c>
      <c r="N26" s="16">
        <f>'C５级比赛'!N26*30</f>
        <v>207.692307692308</v>
      </c>
      <c r="O26" s="16">
        <f>'C５级比赛'!O26*30</f>
        <v>192.857142857143</v>
      </c>
      <c r="P26" s="16">
        <f>'C５级比赛'!P26*30</f>
        <v>180</v>
      </c>
      <c r="Q26" s="16">
        <f>'C５级比赛'!Q26*30</f>
        <v>168.75</v>
      </c>
      <c r="R26" s="16">
        <f>'C５级比赛'!R26*30</f>
        <v>150</v>
      </c>
      <c r="S26" s="16">
        <f>'C５级比赛'!S26*30</f>
        <v>135</v>
      </c>
      <c r="T26" s="16">
        <f>'C５级比赛'!T26*30</f>
        <v>103.846153846154</v>
      </c>
      <c r="U26" s="16">
        <f>'C５级比赛'!U26*30</f>
        <v>90</v>
      </c>
      <c r="V26" s="16">
        <f>'C５级比赛'!V26*30</f>
        <v>65.8536585365854</v>
      </c>
      <c r="W26" s="16">
        <f>'C５级比赛'!W26*30</f>
        <v>52.9411764705882</v>
      </c>
      <c r="X26" s="16">
        <f>'C５级比赛'!X26*30</f>
        <v>44.2622950819671</v>
      </c>
      <c r="Y26" s="38">
        <f>'C５级比赛'!Y26*30</f>
        <v>14731.5203518405</v>
      </c>
      <c r="Z26" s="15">
        <f>'C５级比赛'!Z26*30</f>
        <v>104.478867743549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</row>
    <row r="27" spans="1:172">
      <c r="A27" s="22" t="s">
        <v>65</v>
      </c>
      <c r="B27" s="16">
        <f>'C５级比赛'!B27*30</f>
        <v>3006</v>
      </c>
      <c r="C27" s="16">
        <f>'C５级比赛'!C27*30</f>
        <v>2104.2</v>
      </c>
      <c r="D27" s="16">
        <f>'C５级比赛'!D27*30</f>
        <v>1503</v>
      </c>
      <c r="E27" s="16">
        <f>'C５级比赛'!E27*30</f>
        <v>1052.1</v>
      </c>
      <c r="F27" s="16">
        <f>'C５级比赛'!F27*30</f>
        <v>601.2</v>
      </c>
      <c r="G27" s="16">
        <f>'C５级比赛'!G27*30</f>
        <v>501</v>
      </c>
      <c r="H27" s="16">
        <f>'C５级比赛'!H27*30</f>
        <v>429.428571428571</v>
      </c>
      <c r="I27" s="16">
        <f>'C５级比赛'!I27*30</f>
        <v>375.75</v>
      </c>
      <c r="J27" s="16">
        <f>'C５级比赛'!J27*30</f>
        <v>334</v>
      </c>
      <c r="K27" s="16">
        <f>'C５级比赛'!K27*30</f>
        <v>300.6</v>
      </c>
      <c r="L27" s="16">
        <f>'C５级比赛'!L27*30</f>
        <v>273.272727272727</v>
      </c>
      <c r="M27" s="16">
        <f>'C５级比赛'!M27*30</f>
        <v>250.5</v>
      </c>
      <c r="N27" s="16">
        <f>'C５级比赛'!N27*30</f>
        <v>231.230769230769</v>
      </c>
      <c r="O27" s="16">
        <f>'C５级比赛'!O27*30</f>
        <v>214.714285714286</v>
      </c>
      <c r="P27" s="16">
        <f>'C５级比赛'!P27*30</f>
        <v>200.4</v>
      </c>
      <c r="Q27" s="16">
        <f>'C５级比赛'!Q27*30</f>
        <v>187.875</v>
      </c>
      <c r="R27" s="16">
        <f>'C５级比赛'!R27*30</f>
        <v>167</v>
      </c>
      <c r="S27" s="16">
        <f>'C５级比赛'!S27*30</f>
        <v>150.3</v>
      </c>
      <c r="T27" s="16">
        <f>'C５级比赛'!T27*30</f>
        <v>115.615384615385</v>
      </c>
      <c r="U27" s="16">
        <f>'C５级比赛'!U27*30</f>
        <v>100.2</v>
      </c>
      <c r="V27" s="16">
        <f>'C５级比赛'!V27*30</f>
        <v>73.3170731707317</v>
      </c>
      <c r="W27" s="16">
        <f>'C５级比赛'!W27*30</f>
        <v>58.9411764705882</v>
      </c>
      <c r="X27" s="16">
        <f>'C５级比赛'!X27*30</f>
        <v>49.2786885245902</v>
      </c>
      <c r="Y27" s="16">
        <f>'C５级比赛'!Y27*30</f>
        <v>42.338028169014</v>
      </c>
      <c r="Z27" s="38">
        <f>'C５级比赛'!Z27*30</f>
        <v>16824.4729400725</v>
      </c>
      <c r="AA27" s="15">
        <f>'C５级比赛'!AA27*30</f>
        <v>104.499831925916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</row>
    <row r="28" spans="1:172">
      <c r="A28" s="22" t="s">
        <v>66</v>
      </c>
      <c r="B28" s="16">
        <f>'C５级比赛'!B28*30</f>
        <v>3306</v>
      </c>
      <c r="C28" s="16">
        <f>'C５级比赛'!C28*30</f>
        <v>2314.2</v>
      </c>
      <c r="D28" s="16">
        <f>'C５级比赛'!D28*30</f>
        <v>1653</v>
      </c>
      <c r="E28" s="16">
        <f>'C５级比赛'!E28*30</f>
        <v>1157.1</v>
      </c>
      <c r="F28" s="16">
        <f>'C５级比赛'!F28*30</f>
        <v>661.2</v>
      </c>
      <c r="G28" s="16">
        <f>'C５级比赛'!G28*30</f>
        <v>551</v>
      </c>
      <c r="H28" s="16">
        <f>'C５级比赛'!H28*30</f>
        <v>472.285714285714</v>
      </c>
      <c r="I28" s="16">
        <f>'C５级比赛'!I28*30</f>
        <v>413.25</v>
      </c>
      <c r="J28" s="16">
        <f>'C５级比赛'!J28*30</f>
        <v>367.333333333333</v>
      </c>
      <c r="K28" s="16">
        <f>'C５级比赛'!K28*30</f>
        <v>330.6</v>
      </c>
      <c r="L28" s="16">
        <f>'C５级比赛'!L28*30</f>
        <v>300.545454545455</v>
      </c>
      <c r="M28" s="16">
        <f>'C５级比赛'!M28*30</f>
        <v>275.5</v>
      </c>
      <c r="N28" s="16">
        <f>'C５级比赛'!N28*30</f>
        <v>254.307692307692</v>
      </c>
      <c r="O28" s="16">
        <f>'C５级比赛'!O28*30</f>
        <v>236.142857142857</v>
      </c>
      <c r="P28" s="16">
        <f>'C５级比赛'!P28*30</f>
        <v>220.4</v>
      </c>
      <c r="Q28" s="16">
        <f>'C５级比赛'!Q28*30</f>
        <v>206.625</v>
      </c>
      <c r="R28" s="16">
        <f>'C５级比赛'!R28*30</f>
        <v>183.666666666667</v>
      </c>
      <c r="S28" s="16">
        <f>'C５级比赛'!S28*30</f>
        <v>165.3</v>
      </c>
      <c r="T28" s="16">
        <f>'C５级比赛'!T28*30</f>
        <v>127.153846153846</v>
      </c>
      <c r="U28" s="16">
        <f>'C５级比赛'!U28*30</f>
        <v>110.2</v>
      </c>
      <c r="V28" s="16">
        <f>'C５级比赛'!V28*30</f>
        <v>80.6341463414634</v>
      </c>
      <c r="W28" s="16">
        <f>'C５级比赛'!W28*30</f>
        <v>64.8235294117647</v>
      </c>
      <c r="X28" s="16">
        <f>'C５级比赛'!X28*30</f>
        <v>54.1967213114754</v>
      </c>
      <c r="Y28" s="16">
        <f>'C５级比赛'!Y28*30</f>
        <v>46.5633802816901</v>
      </c>
      <c r="Z28" s="16">
        <f>'C５级比赛'!Z28*30</f>
        <v>40.8148148148147</v>
      </c>
      <c r="AA28" s="38">
        <f>'C５级比赛'!AA28*30</f>
        <v>18911.7102039964</v>
      </c>
      <c r="AB28" s="15">
        <f>'C５级比赛'!AB28*30</f>
        <v>104.484586762411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72">
      <c r="A29" s="22" t="s">
        <v>67</v>
      </c>
      <c r="B29" s="16">
        <f>'C５级比赛'!B29*30</f>
        <v>3603</v>
      </c>
      <c r="C29" s="16">
        <f>'C５级比赛'!C29*30</f>
        <v>2522.1</v>
      </c>
      <c r="D29" s="16">
        <f>'C５级比赛'!D29*30</f>
        <v>1801.5</v>
      </c>
      <c r="E29" s="16">
        <f>'C５级比赛'!E29*30</f>
        <v>1261.05</v>
      </c>
      <c r="F29" s="16">
        <f>'C５级比赛'!F29*30</f>
        <v>720.6</v>
      </c>
      <c r="G29" s="16">
        <f>'C５级比赛'!G29*30</f>
        <v>600.5</v>
      </c>
      <c r="H29" s="16">
        <f>'C５级比赛'!H29*30</f>
        <v>514.714285714286</v>
      </c>
      <c r="I29" s="16">
        <f>'C５级比赛'!I29*30</f>
        <v>450.375</v>
      </c>
      <c r="J29" s="16">
        <f>'C５级比赛'!J29*30</f>
        <v>400.333333333333</v>
      </c>
      <c r="K29" s="16">
        <f>'C５级比赛'!K29*30</f>
        <v>360.3</v>
      </c>
      <c r="L29" s="16">
        <f>'C５级比赛'!L29*30</f>
        <v>327.545454545455</v>
      </c>
      <c r="M29" s="16">
        <f>'C５级比赛'!M29*30</f>
        <v>300.25</v>
      </c>
      <c r="N29" s="16">
        <f>'C５级比赛'!N29*30</f>
        <v>277.153846153846</v>
      </c>
      <c r="O29" s="16">
        <f>'C５级比赛'!O29*30</f>
        <v>257.357142857143</v>
      </c>
      <c r="P29" s="16">
        <f>'C５级比赛'!P29*30</f>
        <v>240.2</v>
      </c>
      <c r="Q29" s="16">
        <f>'C５级比赛'!Q29*30</f>
        <v>225.1875</v>
      </c>
      <c r="R29" s="16">
        <f>'C５级比赛'!R29*30</f>
        <v>200.166666666667</v>
      </c>
      <c r="S29" s="16">
        <f>'C５级比赛'!S29*30</f>
        <v>180.15</v>
      </c>
      <c r="T29" s="16">
        <f>'C５级比赛'!T29*30</f>
        <v>138.576923076923</v>
      </c>
      <c r="U29" s="16">
        <f>'C５级比赛'!U29*30</f>
        <v>120.1</v>
      </c>
      <c r="V29" s="16">
        <f>'C５级比赛'!V29*30</f>
        <v>87.8780487804878</v>
      </c>
      <c r="W29" s="16">
        <f>'C５级比赛'!W29*30</f>
        <v>70.6470588235294</v>
      </c>
      <c r="X29" s="16">
        <f>'C５级比赛'!X29*30</f>
        <v>59.0655737704918</v>
      </c>
      <c r="Y29" s="16">
        <f>'C５级比赛'!Y29*30</f>
        <v>50.7464788732394</v>
      </c>
      <c r="Z29" s="16">
        <f>'C５级比赛'!Z29*30</f>
        <v>44.4814814814815</v>
      </c>
      <c r="AA29" s="16">
        <f>'C５级比赛'!AA29*30</f>
        <v>39.5934065934066</v>
      </c>
      <c r="AB29" s="38">
        <f>'C５级比赛'!AB29*30</f>
        <v>21006.609161215</v>
      </c>
      <c r="AC29" s="15">
        <f>'C５级比赛'!AC29*30</f>
        <v>104.510493339378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72">
      <c r="A30" s="22" t="s">
        <v>68</v>
      </c>
      <c r="B30" s="16">
        <f>'C５级比赛'!B30*30</f>
        <v>4176</v>
      </c>
      <c r="C30" s="16">
        <f>'C５级比赛'!C30*30</f>
        <v>2923.2</v>
      </c>
      <c r="D30" s="16">
        <f>'C５级比赛'!D30*30</f>
        <v>2088</v>
      </c>
      <c r="E30" s="16">
        <f>'C５级比赛'!E30*30</f>
        <v>1461.6</v>
      </c>
      <c r="F30" s="16">
        <f>'C５级比赛'!F30*30</f>
        <v>835.2</v>
      </c>
      <c r="G30" s="16">
        <f>'C５级比赛'!G30*30</f>
        <v>696</v>
      </c>
      <c r="H30" s="16">
        <f>'C５级比赛'!H30*30</f>
        <v>596.571428571428</v>
      </c>
      <c r="I30" s="16">
        <f>'C５级比赛'!I30*30</f>
        <v>522</v>
      </c>
      <c r="J30" s="16">
        <f>'C５级比赛'!J30*30</f>
        <v>464</v>
      </c>
      <c r="K30" s="16">
        <f>'C５级比赛'!K30*30</f>
        <v>417.6</v>
      </c>
      <c r="L30" s="16">
        <f>'C５级比赛'!L30*30</f>
        <v>379.636363636364</v>
      </c>
      <c r="M30" s="16">
        <f>'C５级比赛'!M30*30</f>
        <v>348</v>
      </c>
      <c r="N30" s="16">
        <f>'C５级比赛'!N30*30</f>
        <v>321.230769230769</v>
      </c>
      <c r="O30" s="16">
        <f>'C５级比赛'!O30*30</f>
        <v>298.285714285714</v>
      </c>
      <c r="P30" s="16">
        <f>'C５级比赛'!P30*30</f>
        <v>278.4</v>
      </c>
      <c r="Q30" s="16">
        <f>'C５级比赛'!Q30*30</f>
        <v>261</v>
      </c>
      <c r="R30" s="16">
        <f>'C５级比赛'!R30*30</f>
        <v>232</v>
      </c>
      <c r="S30" s="16">
        <f>'C５级比赛'!S30*30</f>
        <v>208.8</v>
      </c>
      <c r="T30" s="16">
        <f>'C５级比赛'!T30*30</f>
        <v>160.615384615385</v>
      </c>
      <c r="U30" s="16">
        <f>'C５级比赛'!U30*30</f>
        <v>139.2</v>
      </c>
      <c r="V30" s="16">
        <f>'C５级比赛'!V30*30</f>
        <v>101.853658536585</v>
      </c>
      <c r="W30" s="16">
        <f>'C５级比赛'!W30*30</f>
        <v>81.8823529411765</v>
      </c>
      <c r="X30" s="16">
        <f>'C５级比赛'!X30*30</f>
        <v>68.4590163934426</v>
      </c>
      <c r="Y30" s="16">
        <f>'C５级比赛'!Y30*30</f>
        <v>58.8169014084507</v>
      </c>
      <c r="Z30" s="16">
        <f>'C５级比赛'!Z30*30</f>
        <v>51.5555555555556</v>
      </c>
      <c r="AA30" s="16">
        <f>'C５级比赛'!AA30*30</f>
        <v>45.8901098901099</v>
      </c>
      <c r="AB30" s="16">
        <f>'C５级比赛'!AB30*30</f>
        <v>41.76</v>
      </c>
      <c r="AC30" s="38">
        <f>'C５级比赛'!AC30*30</f>
        <v>25182.5771460544</v>
      </c>
      <c r="AD30" s="15">
        <f>'C５级比赛'!AD30*30</f>
        <v>104.492021352923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</row>
    <row r="31" spans="1:172">
      <c r="A31" s="22" t="s">
        <v>69</v>
      </c>
      <c r="B31" s="16">
        <f>'C５级比赛'!B31*30</f>
        <v>4740</v>
      </c>
      <c r="C31" s="16">
        <f>'C５级比赛'!C31*30</f>
        <v>3318</v>
      </c>
      <c r="D31" s="16">
        <f>'C５级比赛'!D31*30</f>
        <v>2370</v>
      </c>
      <c r="E31" s="16">
        <f>'C５级比赛'!E31*30</f>
        <v>1659</v>
      </c>
      <c r="F31" s="16">
        <f>'C５级比赛'!F31*30</f>
        <v>948</v>
      </c>
      <c r="G31" s="16">
        <f>'C５级比赛'!G31*30</f>
        <v>790</v>
      </c>
      <c r="H31" s="16">
        <f>'C５级比赛'!H31*30</f>
        <v>677.142857142857</v>
      </c>
      <c r="I31" s="16">
        <f>'C５级比赛'!I31*30</f>
        <v>592.5</v>
      </c>
      <c r="J31" s="16">
        <f>'C５级比赛'!J31*30</f>
        <v>526.666666666667</v>
      </c>
      <c r="K31" s="16">
        <f>'C５级比赛'!K31*30</f>
        <v>474</v>
      </c>
      <c r="L31" s="16">
        <f>'C５级比赛'!L31*30</f>
        <v>430.909090909091</v>
      </c>
      <c r="M31" s="16">
        <f>'C５级比赛'!M31*30</f>
        <v>395</v>
      </c>
      <c r="N31" s="16">
        <f>'C５级比赛'!N31*30</f>
        <v>364.615384615385</v>
      </c>
      <c r="O31" s="16">
        <f>'C５级比赛'!O31*30</f>
        <v>338.571428571429</v>
      </c>
      <c r="P31" s="16">
        <f>'C５级比赛'!P31*30</f>
        <v>316</v>
      </c>
      <c r="Q31" s="16">
        <f>'C５级比赛'!Q31*30</f>
        <v>296.25</v>
      </c>
      <c r="R31" s="16">
        <f>'C５级比赛'!R31*30</f>
        <v>263.333333333333</v>
      </c>
      <c r="S31" s="16">
        <f>'C５级比赛'!S31*30</f>
        <v>237</v>
      </c>
      <c r="T31" s="16">
        <f>'C５级比赛'!T31*30</f>
        <v>182.307692307692</v>
      </c>
      <c r="U31" s="16">
        <f>'C５级比赛'!U31*30</f>
        <v>158</v>
      </c>
      <c r="V31" s="16">
        <f>'C５级比赛'!V31*30</f>
        <v>115.609756097561</v>
      </c>
      <c r="W31" s="16">
        <f>'C５级比赛'!W31*30</f>
        <v>92.9411764705882</v>
      </c>
      <c r="X31" s="16">
        <f>'C５级比赛'!X31*30</f>
        <v>77.7049180327869</v>
      </c>
      <c r="Y31" s="16">
        <f>'C５级比赛'!Y31*30</f>
        <v>66.7605633802817</v>
      </c>
      <c r="Z31" s="16">
        <f>'C５级比赛'!Z31*30</f>
        <v>58.5185185185185</v>
      </c>
      <c r="AA31" s="16">
        <f>'C５级比赛'!AA31*30</f>
        <v>52.0879120879121</v>
      </c>
      <c r="AB31" s="16">
        <f>'C５级比赛'!AB31*30</f>
        <v>47.4</v>
      </c>
      <c r="AC31" s="16">
        <f>'C５级比赛'!AC31*30</f>
        <v>39.1735537190082</v>
      </c>
      <c r="AD31" s="38">
        <f>'C５级比赛'!AD31*30</f>
        <v>29367.1434097005</v>
      </c>
      <c r="AE31" s="15">
        <f>'C５级比赛'!AE31*30</f>
        <v>104.509407151959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72">
      <c r="A32" s="22" t="s">
        <v>70</v>
      </c>
      <c r="B32" s="16">
        <f>'C５级比赛'!B32*30</f>
        <v>5295</v>
      </c>
      <c r="C32" s="16">
        <f>'C５级比赛'!C32*30</f>
        <v>3706.5</v>
      </c>
      <c r="D32" s="16">
        <f>'C５级比赛'!D32*30</f>
        <v>2647.5</v>
      </c>
      <c r="E32" s="16">
        <f>'C５级比赛'!E32*30</f>
        <v>1853.25</v>
      </c>
      <c r="F32" s="16">
        <f>'C５级比赛'!F32*30</f>
        <v>1059</v>
      </c>
      <c r="G32" s="16">
        <f>'C５级比赛'!G32*30</f>
        <v>882.5</v>
      </c>
      <c r="H32" s="16">
        <f>'C５级比赛'!H32*30</f>
        <v>756.428571428571</v>
      </c>
      <c r="I32" s="16">
        <f>'C５级比赛'!I32*30</f>
        <v>661.875</v>
      </c>
      <c r="J32" s="16">
        <f>'C５级比赛'!J32*30</f>
        <v>588.333333333333</v>
      </c>
      <c r="K32" s="16">
        <f>'C５级比赛'!K32*30</f>
        <v>529.5</v>
      </c>
      <c r="L32" s="16">
        <f>'C５级比赛'!L32*30</f>
        <v>481.363636363636</v>
      </c>
      <c r="M32" s="16">
        <f>'C５级比赛'!M32*30</f>
        <v>441.25</v>
      </c>
      <c r="N32" s="16">
        <f>'C５级比赛'!N32*30</f>
        <v>407.307692307692</v>
      </c>
      <c r="O32" s="16">
        <f>'C５级比赛'!O32*30</f>
        <v>378.214285714286</v>
      </c>
      <c r="P32" s="16">
        <f>'C５级比赛'!P32*30</f>
        <v>353</v>
      </c>
      <c r="Q32" s="16">
        <f>'C５级比赛'!Q32*30</f>
        <v>330.9375</v>
      </c>
      <c r="R32" s="16">
        <f>'C５级比赛'!R32*30</f>
        <v>294.166666666667</v>
      </c>
      <c r="S32" s="16">
        <f>'C５级比赛'!S32*30</f>
        <v>264.75</v>
      </c>
      <c r="T32" s="16">
        <f>'C５级比赛'!T32*30</f>
        <v>203.653846153846</v>
      </c>
      <c r="U32" s="16">
        <f>'C５级比赛'!U32*30</f>
        <v>176.5</v>
      </c>
      <c r="V32" s="16">
        <f>'C５级比赛'!V32*30</f>
        <v>129.146341463415</v>
      </c>
      <c r="W32" s="16">
        <f>'C５级比赛'!W32*30</f>
        <v>103.823529411765</v>
      </c>
      <c r="X32" s="16">
        <f>'C５级比赛'!X32*30</f>
        <v>86.8032786885246</v>
      </c>
      <c r="Y32" s="16">
        <f>'C５级比赛'!Y32*30</f>
        <v>74.5774647887324</v>
      </c>
      <c r="Z32" s="16">
        <f>'C５级比赛'!Z32*30</f>
        <v>65.3703703703704</v>
      </c>
      <c r="AA32" s="16">
        <f>'C５级比赛'!AA32*30</f>
        <v>58.1868131868132</v>
      </c>
      <c r="AB32" s="16">
        <f>'C５级比赛'!AB32*30</f>
        <v>52.95</v>
      </c>
      <c r="AC32" s="16">
        <f>'C５级比赛'!AC32*30</f>
        <v>43.7603305785124</v>
      </c>
      <c r="AD32" s="16">
        <f>'C５级比赛'!AD32*30</f>
        <v>37.5531914893617</v>
      </c>
      <c r="AE32" s="38">
        <f>'C５级比赛'!AE32*30</f>
        <v>33556.7651703704</v>
      </c>
      <c r="AF32" s="27">
        <f>'C５级比赛'!AF32*30</f>
        <v>104.53820925349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</row>
    <row r="33" spans="1:172">
      <c r="A33" s="22" t="s">
        <v>71</v>
      </c>
      <c r="B33" s="16">
        <f>'C５级比赛'!B33*30</f>
        <v>5841</v>
      </c>
      <c r="C33" s="16">
        <f>'C５级比赛'!C33*30</f>
        <v>4088.7</v>
      </c>
      <c r="D33" s="16">
        <f>'C５级比赛'!D33*30</f>
        <v>2920.5</v>
      </c>
      <c r="E33" s="16">
        <f>'C５级比赛'!E33*30</f>
        <v>2044.35</v>
      </c>
      <c r="F33" s="16">
        <f>'C５级比赛'!F33*30</f>
        <v>1168.2</v>
      </c>
      <c r="G33" s="16">
        <f>'C５级比赛'!G33*30</f>
        <v>973.5</v>
      </c>
      <c r="H33" s="16">
        <f>'C５级比赛'!H33*30</f>
        <v>834.428571428571</v>
      </c>
      <c r="I33" s="16">
        <f>'C５级比赛'!I33*30</f>
        <v>730.125</v>
      </c>
      <c r="J33" s="16">
        <f>'C５级比赛'!J33*30</f>
        <v>649</v>
      </c>
      <c r="K33" s="16">
        <f>'C５级比赛'!K33*30</f>
        <v>584.1</v>
      </c>
      <c r="L33" s="16">
        <f>'C５级比赛'!L33*30</f>
        <v>531</v>
      </c>
      <c r="M33" s="16">
        <f>'C５级比赛'!M33*30</f>
        <v>486.75</v>
      </c>
      <c r="N33" s="16">
        <f>'C５级比赛'!N33*30</f>
        <v>449.307692307692</v>
      </c>
      <c r="O33" s="16">
        <f>'C５级比赛'!O33*30</f>
        <v>417.214285714286</v>
      </c>
      <c r="P33" s="16">
        <f>'C５级比赛'!P33*30</f>
        <v>389.4</v>
      </c>
      <c r="Q33" s="16">
        <f>'C５级比赛'!Q33*30</f>
        <v>365.0625</v>
      </c>
      <c r="R33" s="16">
        <f>'C５级比赛'!R33*30</f>
        <v>324.5</v>
      </c>
      <c r="S33" s="16">
        <f>'C５级比赛'!S33*30</f>
        <v>292.05</v>
      </c>
      <c r="T33" s="16">
        <f>'C５级比赛'!T33*30</f>
        <v>224.653846153846</v>
      </c>
      <c r="U33" s="16">
        <f>'C５级比赛'!U33*30</f>
        <v>194.7</v>
      </c>
      <c r="V33" s="16">
        <f>'C５级比赛'!V33*30</f>
        <v>142.463414634146</v>
      </c>
      <c r="W33" s="16">
        <f>'C５级比赛'!W33*30</f>
        <v>114.529411764706</v>
      </c>
      <c r="X33" s="16">
        <f>'C５级比赛'!X33*30</f>
        <v>95.7540983606557</v>
      </c>
      <c r="Y33" s="16">
        <f>'C５级比赛'!Y33*30</f>
        <v>82.2676056338028</v>
      </c>
      <c r="Z33" s="16">
        <f>'C５级比赛'!Z33*30</f>
        <v>72.1111111111111</v>
      </c>
      <c r="AA33" s="16">
        <f>'C５级比赛'!AA33*30</f>
        <v>64.1868131868132</v>
      </c>
      <c r="AB33" s="16">
        <f>'C５级比赛'!AB33*30</f>
        <v>58.41</v>
      </c>
      <c r="AC33" s="16">
        <f>'C５级比赛'!AC33*30</f>
        <v>48.2727272727273</v>
      </c>
      <c r="AD33" s="16">
        <f>'C５级比赛'!AD33*30</f>
        <v>41.4255319148936</v>
      </c>
      <c r="AE33" s="16">
        <f>'C５级比赛'!AE33*30</f>
        <v>36.2795031055902</v>
      </c>
      <c r="AF33" s="39">
        <f>'C５级比赛'!AF33*30</f>
        <v>37742.5995729964</v>
      </c>
      <c r="AG33" s="27">
        <f>'C５级比赛'!AG33*30</f>
        <v>104.55013732132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</row>
    <row r="34" spans="1:172">
      <c r="A34" s="22" t="s">
        <v>72</v>
      </c>
      <c r="B34" s="16">
        <f>'C５级比赛'!B34*30</f>
        <v>6381</v>
      </c>
      <c r="C34" s="16">
        <f>'C５级比赛'!C34*30</f>
        <v>4466.7</v>
      </c>
      <c r="D34" s="16">
        <f>'C５级比赛'!D34*30</f>
        <v>3190.5</v>
      </c>
      <c r="E34" s="16">
        <f>'C５级比赛'!E34*30</f>
        <v>2233.35</v>
      </c>
      <c r="F34" s="16">
        <f>'C５级比赛'!F34*30</f>
        <v>1276.2</v>
      </c>
      <c r="G34" s="16">
        <f>'C５级比赛'!G34*30</f>
        <v>1063.5</v>
      </c>
      <c r="H34" s="16">
        <f>'C５级比赛'!H34*30</f>
        <v>911.571428571428</v>
      </c>
      <c r="I34" s="16">
        <f>'C５级比赛'!I34*30</f>
        <v>797.625</v>
      </c>
      <c r="J34" s="16">
        <f>'C５级比赛'!J34*30</f>
        <v>709</v>
      </c>
      <c r="K34" s="16">
        <f>'C５级比赛'!K34*30</f>
        <v>638.1</v>
      </c>
      <c r="L34" s="16">
        <f>'C５级比赛'!L34*30</f>
        <v>580.090909090909</v>
      </c>
      <c r="M34" s="16">
        <f>'C５级比赛'!M34*30</f>
        <v>531.75</v>
      </c>
      <c r="N34" s="16">
        <f>'C５级比赛'!N34*30</f>
        <v>490.846153846154</v>
      </c>
      <c r="O34" s="16">
        <f>'C５级比赛'!O34*30</f>
        <v>455.785714285714</v>
      </c>
      <c r="P34" s="16">
        <f>'C５级比赛'!P34*30</f>
        <v>425.4</v>
      </c>
      <c r="Q34" s="16">
        <f>'C５级比赛'!Q34*30</f>
        <v>398.8125</v>
      </c>
      <c r="R34" s="16">
        <f>'C５级比赛'!R34*30</f>
        <v>354.5</v>
      </c>
      <c r="S34" s="16">
        <f>'C５级比赛'!S34*30</f>
        <v>319.05</v>
      </c>
      <c r="T34" s="16">
        <f>'C５级比赛'!T34*30</f>
        <v>245.423076923077</v>
      </c>
      <c r="U34" s="16">
        <f>'C５级比赛'!U34*30</f>
        <v>212.7</v>
      </c>
      <c r="V34" s="16">
        <f>'C５级比赛'!V34*30</f>
        <v>155.634146341463</v>
      </c>
      <c r="W34" s="16">
        <f>'C５级比赛'!W34*30</f>
        <v>125.117647058824</v>
      </c>
      <c r="X34" s="16">
        <f>'C５级比赛'!X34*30</f>
        <v>104.606557377049</v>
      </c>
      <c r="Y34" s="16">
        <f>'C５级比赛'!Y34*30</f>
        <v>89.8732394366197</v>
      </c>
      <c r="Z34" s="16">
        <f>'C５级比赛'!Z34*30</f>
        <v>78.7777777777778</v>
      </c>
      <c r="AA34" s="16">
        <f>'C５级比赛'!AA34*30</f>
        <v>70.1208791208791</v>
      </c>
      <c r="AB34" s="16">
        <f>'C５级比赛'!AB34*30</f>
        <v>63.81</v>
      </c>
      <c r="AC34" s="16">
        <f>'C５级比赛'!AC34*30</f>
        <v>52.7355371900826</v>
      </c>
      <c r="AD34" s="16">
        <f>'C５级比赛'!AD34*30</f>
        <v>45.2553191489362</v>
      </c>
      <c r="AE34" s="16">
        <f>'C５级比赛'!AE34*30</f>
        <v>39.6335403726708</v>
      </c>
      <c r="AF34" s="25">
        <f>'C５级比赛'!AF34*30</f>
        <v>35.2541436464088</v>
      </c>
      <c r="AG34" s="39">
        <f>'C５级比赛'!AG34*30</f>
        <v>41936.9828686977</v>
      </c>
      <c r="AH34" s="27">
        <f>'C５级比赛'!AH34*30</f>
        <v>104.581004660094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</row>
    <row r="35" spans="1:172">
      <c r="A35" s="22" t="s">
        <v>73</v>
      </c>
      <c r="B35" s="16">
        <f>'C５级比赛'!B35*30</f>
        <v>8889</v>
      </c>
      <c r="C35" s="16">
        <f>'C５级比赛'!C35*30</f>
        <v>6222.3</v>
      </c>
      <c r="D35" s="16">
        <f>'C５级比赛'!D35*30</f>
        <v>4444.5</v>
      </c>
      <c r="E35" s="16">
        <f>'C５级比赛'!E35*30</f>
        <v>3111.15</v>
      </c>
      <c r="F35" s="16">
        <f>'C５级比赛'!F35*30</f>
        <v>1777.8</v>
      </c>
      <c r="G35" s="16">
        <f>'C５级比赛'!G35*30</f>
        <v>1481.5</v>
      </c>
      <c r="H35" s="16">
        <f>'C５级比赛'!H35*30</f>
        <v>1269.85714285714</v>
      </c>
      <c r="I35" s="16">
        <f>'C５级比赛'!I35*30</f>
        <v>1111.125</v>
      </c>
      <c r="J35" s="16">
        <f>'C５级比赛'!J35*30</f>
        <v>987.666666666667</v>
      </c>
      <c r="K35" s="16">
        <f>'C５级比赛'!K35*30</f>
        <v>888.9</v>
      </c>
      <c r="L35" s="16">
        <f>'C５级比赛'!L35*30</f>
        <v>808.090909090909</v>
      </c>
      <c r="M35" s="16">
        <f>'C５级比赛'!M35*30</f>
        <v>740.75</v>
      </c>
      <c r="N35" s="16">
        <f>'C５级比赛'!N35*30</f>
        <v>683.769230769231</v>
      </c>
      <c r="O35" s="16">
        <f>'C５级比赛'!O35*30</f>
        <v>634.928571428571</v>
      </c>
      <c r="P35" s="16">
        <f>'C５级比赛'!P35*30</f>
        <v>592.6</v>
      </c>
      <c r="Q35" s="16">
        <f>'C５级比赛'!Q35*30</f>
        <v>555.5625</v>
      </c>
      <c r="R35" s="16">
        <f>'C５级比赛'!R35*30</f>
        <v>493.833333333333</v>
      </c>
      <c r="S35" s="16">
        <f>'C５级比赛'!S35*30</f>
        <v>444.45</v>
      </c>
      <c r="T35" s="16">
        <f>'C５级比赛'!T35*30</f>
        <v>341.884615384615</v>
      </c>
      <c r="U35" s="16">
        <f>'C５级比赛'!U35*30</f>
        <v>296.3</v>
      </c>
      <c r="V35" s="16">
        <f>'C５级比赛'!V35*30</f>
        <v>216.80487804878</v>
      </c>
      <c r="W35" s="16">
        <f>'C５级比赛'!W35*30</f>
        <v>174.294117647059</v>
      </c>
      <c r="X35" s="16">
        <f>'C５级比赛'!X35*30</f>
        <v>145.72131147541</v>
      </c>
      <c r="Y35" s="16">
        <f>'C５级比赛'!Y35*30</f>
        <v>125.197183098592</v>
      </c>
      <c r="Z35" s="16">
        <f>'C５级比赛'!Z35*30</f>
        <v>109.740740740741</v>
      </c>
      <c r="AA35" s="16">
        <f>'C５级比赛'!AA35*30</f>
        <v>97.6813186813187</v>
      </c>
      <c r="AB35" s="16">
        <f>'C５级比赛'!AB35*30</f>
        <v>88.89</v>
      </c>
      <c r="AC35" s="16">
        <f>'C５级比赛'!AC35*30</f>
        <v>73.4628099173554</v>
      </c>
      <c r="AD35" s="16">
        <f>'C５级比赛'!AD35*30</f>
        <v>63.0425531914894</v>
      </c>
      <c r="AE35" s="16">
        <f>'C５级比赛'!AE35*30</f>
        <v>55.2111801242236</v>
      </c>
      <c r="AF35" s="25">
        <f>'C５级比赛'!AF35*30</f>
        <v>49.1104972375691</v>
      </c>
      <c r="AG35" s="25">
        <f>'C５级比赛'!AG35*30</f>
        <v>44.2238805970149</v>
      </c>
      <c r="AH35" s="39">
        <f>'C５级比赛'!AH35*30</f>
        <v>62842.3599637688</v>
      </c>
      <c r="AI35" s="27">
        <f>'C５级比赛'!AI35*30</f>
        <v>104.562994948035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</row>
    <row r="36" spans="1:172">
      <c r="A36" s="22" t="s">
        <v>74</v>
      </c>
      <c r="B36" s="16">
        <f>'C５级比赛'!B36*30</f>
        <v>11316</v>
      </c>
      <c r="C36" s="16">
        <f>'C５级比赛'!C36*30</f>
        <v>7921.2</v>
      </c>
      <c r="D36" s="16">
        <f>'C５级比赛'!D36*30</f>
        <v>5658</v>
      </c>
      <c r="E36" s="16">
        <f>'C５级比赛'!E36*30</f>
        <v>3960.6</v>
      </c>
      <c r="F36" s="16">
        <f>'C５级比赛'!F36*30</f>
        <v>2263.2</v>
      </c>
      <c r="G36" s="16">
        <f>'C５级比赛'!G36*30</f>
        <v>1886</v>
      </c>
      <c r="H36" s="16">
        <f>'C５级比赛'!H36*30</f>
        <v>1616.57142857143</v>
      </c>
      <c r="I36" s="16">
        <f>'C５级比赛'!I36*30</f>
        <v>1414.5</v>
      </c>
      <c r="J36" s="16">
        <f>'C５级比赛'!J36*30</f>
        <v>1257.33333333333</v>
      </c>
      <c r="K36" s="16">
        <f>'C５级比赛'!K36*30</f>
        <v>1131.6</v>
      </c>
      <c r="L36" s="16">
        <f>'C５级比赛'!L36*30</f>
        <v>1028.72727272727</v>
      </c>
      <c r="M36" s="16">
        <f>'C５级比赛'!M36*30</f>
        <v>943</v>
      </c>
      <c r="N36" s="16">
        <f>'C５级比赛'!N36*30</f>
        <v>870.461538461538</v>
      </c>
      <c r="O36" s="16">
        <f>'C５级比赛'!O36*30</f>
        <v>808.285714285714</v>
      </c>
      <c r="P36" s="16">
        <f>'C５级比赛'!P36*30</f>
        <v>754.4</v>
      </c>
      <c r="Q36" s="16">
        <f>'C５级比赛'!Q36*30</f>
        <v>707.25</v>
      </c>
      <c r="R36" s="16">
        <f>'C５级比赛'!R36*30</f>
        <v>628.666666666667</v>
      </c>
      <c r="S36" s="16">
        <f>'C５级比赛'!S36*30</f>
        <v>565.8</v>
      </c>
      <c r="T36" s="16">
        <f>'C５级比赛'!T36*30</f>
        <v>435.230769230769</v>
      </c>
      <c r="U36" s="16">
        <f>'C５级比赛'!U36*30</f>
        <v>377.2</v>
      </c>
      <c r="V36" s="16">
        <f>'C５级比赛'!V36*30</f>
        <v>276</v>
      </c>
      <c r="W36" s="16">
        <f>'C５级比赛'!W36*30</f>
        <v>221.882352941176</v>
      </c>
      <c r="X36" s="16">
        <f>'C５级比赛'!X36*30</f>
        <v>185.508196721311</v>
      </c>
      <c r="Y36" s="16">
        <f>'C５级比赛'!Y36*30</f>
        <v>159.380281690141</v>
      </c>
      <c r="Z36" s="16">
        <f>'C５级比赛'!Z36*30</f>
        <v>139.703703703704</v>
      </c>
      <c r="AA36" s="16">
        <f>'C５级比赛'!AA36*30</f>
        <v>124.351648351648</v>
      </c>
      <c r="AB36" s="16">
        <f>'C５级比赛'!AB36*30</f>
        <v>113.16</v>
      </c>
      <c r="AC36" s="16">
        <f>'C５级比赛'!AC36*30</f>
        <v>93.5206611570248</v>
      </c>
      <c r="AD36" s="16">
        <f>'C５级比赛'!AD36*30</f>
        <v>80.2553191489362</v>
      </c>
      <c r="AE36" s="16">
        <f>'C５级比赛'!AE36*30</f>
        <v>70.2857142857143</v>
      </c>
      <c r="AF36" s="25">
        <f>'C５级比赛'!AF36*30</f>
        <v>62.5193370165746</v>
      </c>
      <c r="AG36" s="25">
        <f>'C５级比赛'!AG36*30</f>
        <v>56.2985074626866</v>
      </c>
      <c r="AH36" s="25">
        <f>'C５级比赛'!AH36*30</f>
        <v>37.594684385382</v>
      </c>
      <c r="AI36" s="39">
        <f>'C５级比赛'!AI36*30</f>
        <v>83759.9347845848</v>
      </c>
      <c r="AJ36" s="27">
        <f>'C５级比赛'!AJ36*30</f>
        <v>104.569206972016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</row>
    <row r="37" s="2" customFormat="1" spans="1:172">
      <c r="A37" s="19" t="s">
        <v>75</v>
      </c>
      <c r="B37" s="13">
        <f>'C５级比赛'!B37*30</f>
        <v>13680</v>
      </c>
      <c r="C37" s="13">
        <f>'C５级比赛'!C37*30</f>
        <v>9576</v>
      </c>
      <c r="D37" s="13">
        <f>'C５级比赛'!D37*30</f>
        <v>6840</v>
      </c>
      <c r="E37" s="13">
        <f>'C５级比赛'!E37*30</f>
        <v>4788</v>
      </c>
      <c r="F37" s="13">
        <f>'C５级比赛'!F37*30</f>
        <v>2736</v>
      </c>
      <c r="G37" s="13">
        <f>'C５级比赛'!G37*30</f>
        <v>2280</v>
      </c>
      <c r="H37" s="13">
        <f>'C５级比赛'!H37*30</f>
        <v>1954.28571428571</v>
      </c>
      <c r="I37" s="13">
        <f>'C５级比赛'!I37*30</f>
        <v>1710</v>
      </c>
      <c r="J37" s="13">
        <f>'C５级比赛'!J37*30</f>
        <v>1520</v>
      </c>
      <c r="K37" s="13">
        <f>'C５级比赛'!K37*30</f>
        <v>1368</v>
      </c>
      <c r="L37" s="13">
        <f>'C５级比赛'!L37*30</f>
        <v>1243.63636363636</v>
      </c>
      <c r="M37" s="13">
        <f>'C５级比赛'!M37*30</f>
        <v>1140</v>
      </c>
      <c r="N37" s="13">
        <f>'C５级比赛'!N37*30</f>
        <v>1052.30769230769</v>
      </c>
      <c r="O37" s="13">
        <f>'C５级比赛'!O37*30</f>
        <v>977.142857142857</v>
      </c>
      <c r="P37" s="13">
        <f>'C５级比赛'!P37*30</f>
        <v>912</v>
      </c>
      <c r="Q37" s="13">
        <f>'C５级比赛'!Q37*30</f>
        <v>855</v>
      </c>
      <c r="R37" s="13">
        <f>'C５级比赛'!R37*30</f>
        <v>760</v>
      </c>
      <c r="S37" s="13">
        <f>'C５级比赛'!S37*30</f>
        <v>684</v>
      </c>
      <c r="T37" s="13">
        <f>'C５级比赛'!T37*30</f>
        <v>526.153846153846</v>
      </c>
      <c r="U37" s="13">
        <f>'C５级比赛'!U37*30</f>
        <v>456</v>
      </c>
      <c r="V37" s="13">
        <f>'C５级比赛'!V37*30</f>
        <v>333.658536585366</v>
      </c>
      <c r="W37" s="13">
        <f>'C５级比赛'!W37*30</f>
        <v>268.235294117647</v>
      </c>
      <c r="X37" s="13">
        <f>'C５级比赛'!X37*30</f>
        <v>224.262295081967</v>
      </c>
      <c r="Y37" s="13">
        <f>'C５级比赛'!Y37*30</f>
        <v>192.676056338028</v>
      </c>
      <c r="Z37" s="13">
        <f>'C５级比赛'!Z37*30</f>
        <v>168.888888888889</v>
      </c>
      <c r="AA37" s="13">
        <f>'C５级比赛'!AA37*30</f>
        <v>150.32967032967</v>
      </c>
      <c r="AB37" s="13">
        <f>'C５级比赛'!AB37*30</f>
        <v>136.8</v>
      </c>
      <c r="AC37" s="13">
        <f>'C５级比赛'!AC37*30</f>
        <v>113.057851239669</v>
      </c>
      <c r="AD37" s="13">
        <f>'C５级比赛'!AD37*30</f>
        <v>97.0212765957447</v>
      </c>
      <c r="AE37" s="13">
        <f>'C５级比赛'!AE37*30</f>
        <v>84.9689440993789</v>
      </c>
      <c r="AF37" s="29">
        <f>'C５级比赛'!AF37*30</f>
        <v>75.5801104972376</v>
      </c>
      <c r="AG37" s="29">
        <f>'C５级比赛'!AG37*30</f>
        <v>68.0597014925373</v>
      </c>
      <c r="AH37" s="29">
        <f>'C５级比赛'!AH37*30</f>
        <v>45.4485049833887</v>
      </c>
      <c r="AI37" s="29">
        <f>'C５级比赛'!AI37*30</f>
        <v>34.1147132169576</v>
      </c>
      <c r="AJ37" s="39">
        <f>'C５级比赛'!AJ37*30</f>
        <v>104669.504889487</v>
      </c>
      <c r="AK37" s="27">
        <f>'C５级比赛'!AK37*30</f>
        <v>104.564939949537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</row>
    <row r="38" spans="1:172">
      <c r="A38" s="22" t="s">
        <v>76</v>
      </c>
      <c r="B38" s="16">
        <f>'C５级比赛'!B38*30</f>
        <v>15048</v>
      </c>
      <c r="C38" s="16">
        <f>'C５级比赛'!C38*30</f>
        <v>13693.68</v>
      </c>
      <c r="D38" s="16">
        <f>'C５级比赛'!D38*30</f>
        <v>9781.2</v>
      </c>
      <c r="E38" s="16">
        <f>'C５级比赛'!E38*30</f>
        <v>7373.52</v>
      </c>
      <c r="F38" s="16">
        <f>'C５级比赛'!F38*30</f>
        <v>4213.44</v>
      </c>
      <c r="G38" s="16">
        <f>'C５级比赛'!G38*30</f>
        <v>3511.2</v>
      </c>
      <c r="H38" s="16">
        <f>'C５级比赛'!H38*30</f>
        <v>3009.6</v>
      </c>
      <c r="I38" s="16">
        <f>'C５级比赛'!I38*30</f>
        <v>2633.4</v>
      </c>
      <c r="J38" s="16">
        <f>'C５级比赛'!J38*30</f>
        <v>2340.8</v>
      </c>
      <c r="K38" s="16">
        <f>'C５级比赛'!K38*30</f>
        <v>2106.72</v>
      </c>
      <c r="L38" s="16">
        <f>'C５级比赛'!L38*30</f>
        <v>1915.2</v>
      </c>
      <c r="M38" s="16">
        <f>'C５级比赛'!M38*30</f>
        <v>1755.6</v>
      </c>
      <c r="N38" s="16">
        <f>'C５级比赛'!N38*30</f>
        <v>1620.55384615385</v>
      </c>
      <c r="O38" s="16">
        <f>'C５级比赛'!O38*30</f>
        <v>1504.8</v>
      </c>
      <c r="P38" s="16">
        <f>'C５级比赛'!P38*30</f>
        <v>1404.48</v>
      </c>
      <c r="Q38" s="16">
        <f>'C５级比赛'!Q38*30</f>
        <v>1316.7</v>
      </c>
      <c r="R38" s="16">
        <f>'C５级比赛'!R38*30</f>
        <v>1170.4</v>
      </c>
      <c r="S38" s="16">
        <f>'C５级比赛'!S38*30</f>
        <v>978.12</v>
      </c>
      <c r="T38" s="16">
        <f>'C５级比赛'!T38*30</f>
        <v>752.4</v>
      </c>
      <c r="U38" s="16">
        <f>'C５级比赛'!U38*30</f>
        <v>652.08</v>
      </c>
      <c r="V38" s="16">
        <f>'C５级比赛'!V38*30</f>
        <v>477.131707317073</v>
      </c>
      <c r="W38" s="16">
        <f>'C５级比赛'!W38*30</f>
        <v>383.576470588235</v>
      </c>
      <c r="X38" s="16">
        <f>'C５级比赛'!X38*30</f>
        <v>320.695081967213</v>
      </c>
      <c r="Y38" s="16">
        <f>'C５级比赛'!Y38*30</f>
        <v>275.52676056338</v>
      </c>
      <c r="Z38" s="16">
        <f>'C５级比赛'!Z38*30</f>
        <v>241.511111111111</v>
      </c>
      <c r="AA38" s="16">
        <f>'C５级比赛'!AA38*30</f>
        <v>214.971428571429</v>
      </c>
      <c r="AB38" s="16">
        <f>'C５级比赛'!AB38*30</f>
        <v>195.624</v>
      </c>
      <c r="AC38" s="16">
        <f>'C５级比赛'!AC38*30</f>
        <v>161.672727272727</v>
      </c>
      <c r="AD38" s="16">
        <f>'C５级比赛'!AD38*30</f>
        <v>138.740425531915</v>
      </c>
      <c r="AE38" s="16">
        <f>'C５级比赛'!AE38*30</f>
        <v>121.505590062112</v>
      </c>
      <c r="AF38" s="25">
        <f>'C５级比赛'!AF38*30</f>
        <v>108.07955801105</v>
      </c>
      <c r="AG38" s="25">
        <f>'C５级比赛'!AG38*30</f>
        <v>97.3253731343284</v>
      </c>
      <c r="AH38" s="25">
        <f>'C５级比赛'!AH38*30</f>
        <v>64.9913621262458</v>
      </c>
      <c r="AI38" s="25">
        <f>'C５级比赛'!AI38*30</f>
        <v>48.7840399002494</v>
      </c>
      <c r="AJ38" s="25">
        <f>'C５级比赛'!AJ38*30</f>
        <v>39.0467065868264</v>
      </c>
      <c r="AK38" s="39">
        <f>'C５级比赛'!AK38*30</f>
        <v>157748.519627683</v>
      </c>
      <c r="AL38" s="27">
        <f>'C５级比赛'!AL38*30</f>
        <v>105.095616007784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</row>
    <row r="39" spans="1:172">
      <c r="A39" s="22" t="s">
        <v>77</v>
      </c>
      <c r="B39" s="16">
        <f>'C５级比赛'!B39*30</f>
        <v>16552.8</v>
      </c>
      <c r="C39" s="16">
        <f>'C５级比赛'!C39*30</f>
        <v>15063.048</v>
      </c>
      <c r="D39" s="16">
        <f>'C５级比赛'!D39*30</f>
        <v>14069.88</v>
      </c>
      <c r="E39" s="16">
        <f>'C５级比赛'!E39*30</f>
        <v>9848.916</v>
      </c>
      <c r="F39" s="16">
        <f>'C５级比赛'!F39*30</f>
        <v>5627.952</v>
      </c>
      <c r="G39" s="16">
        <f>'C５级比赛'!G39*30</f>
        <v>4689.96</v>
      </c>
      <c r="H39" s="16">
        <f>'C５级比赛'!H39*30</f>
        <v>4019.96571428571</v>
      </c>
      <c r="I39" s="16">
        <f>'C５级比赛'!I39*30</f>
        <v>3517.47</v>
      </c>
      <c r="J39" s="16">
        <f>'C５级比赛'!J39*30</f>
        <v>3126.64</v>
      </c>
      <c r="K39" s="16">
        <f>'C５级比赛'!K39*30</f>
        <v>2813.976</v>
      </c>
      <c r="L39" s="16">
        <f>'C５级比赛'!L39*30</f>
        <v>2558.16</v>
      </c>
      <c r="M39" s="16">
        <f>'C５级比赛'!M39*30</f>
        <v>2344.98</v>
      </c>
      <c r="N39" s="16">
        <f>'C５级比赛'!N39*30</f>
        <v>2164.59692307692</v>
      </c>
      <c r="O39" s="16">
        <f>'C５级比赛'!O39*30</f>
        <v>2009.98285714286</v>
      </c>
      <c r="P39" s="16">
        <f>'C５级比赛'!P39*30</f>
        <v>1875.984</v>
      </c>
      <c r="Q39" s="16">
        <f>'C５级比赛'!Q39*30</f>
        <v>1758.735</v>
      </c>
      <c r="R39" s="16">
        <f>'C５级比赛'!R39*30</f>
        <v>1563.32</v>
      </c>
      <c r="S39" s="16">
        <f>'C５级比赛'!S39*30</f>
        <v>1406.988</v>
      </c>
      <c r="T39" s="16">
        <f>'C５级比赛'!T39*30</f>
        <v>1082.29846153846</v>
      </c>
      <c r="U39" s="16">
        <f>'C５级比赛'!U39*30</f>
        <v>937.992</v>
      </c>
      <c r="V39" s="16">
        <f>'C５级比赛'!V39*30</f>
        <v>605.590243902439</v>
      </c>
      <c r="W39" s="16">
        <f>'C５级比赛'!W39*30</f>
        <v>486.847058823529</v>
      </c>
      <c r="X39" s="16">
        <f>'C５级比赛'!X39*30</f>
        <v>407.036065573771</v>
      </c>
      <c r="Y39" s="16">
        <f>'C５级比赛'!Y39*30</f>
        <v>349.707042253521</v>
      </c>
      <c r="Z39" s="16">
        <f>'C５级比赛'!Z39*30</f>
        <v>306.533333333333</v>
      </c>
      <c r="AA39" s="16">
        <f>'C５级比赛'!AA39*30</f>
        <v>272.848351648352</v>
      </c>
      <c r="AB39" s="16">
        <f>'C５级比赛'!AB39*30</f>
        <v>248.292</v>
      </c>
      <c r="AC39" s="16">
        <f>'C５级比赛'!AC39*30</f>
        <v>205.2</v>
      </c>
      <c r="AD39" s="16">
        <f>'C５级比赛'!AD39*30</f>
        <v>176.093617021277</v>
      </c>
      <c r="AE39" s="16">
        <f>'C５级比赛'!AE39*30</f>
        <v>154.218633540373</v>
      </c>
      <c r="AF39" s="25">
        <f>'C５级比赛'!AF39*30</f>
        <v>137.177900552486</v>
      </c>
      <c r="AG39" s="25">
        <f>'C５级比赛'!AG39*30</f>
        <v>123.528358208955</v>
      </c>
      <c r="AH39" s="25">
        <f>'C５级比赛'!AH39*30</f>
        <v>82.4890365448505</v>
      </c>
      <c r="AI39" s="25">
        <f>'C５级比赛'!AI39*30</f>
        <v>61.9182044887781</v>
      </c>
      <c r="AJ39" s="25">
        <f>'C５级比赛'!AJ39*30</f>
        <v>49.5592814371258</v>
      </c>
      <c r="AK39" s="25">
        <f>'C５级比赛'!AK39*30</f>
        <v>33.061517976032</v>
      </c>
      <c r="AL39" s="39">
        <f>'C５级比赛'!AL39*30</f>
        <v>210472.117557378</v>
      </c>
      <c r="AM39" s="27">
        <f>'C５级比赛'!AM39*30</f>
        <v>105.183467045166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</row>
    <row r="40" spans="1:172">
      <c r="A40" s="22" t="s">
        <v>78</v>
      </c>
      <c r="B40" s="16">
        <f>'C５级比赛'!B40*30</f>
        <v>19035.72</v>
      </c>
      <c r="C40" s="16">
        <f>'C５级比赛'!C40*30</f>
        <v>17322.5052</v>
      </c>
      <c r="D40" s="16">
        <f>'C５级比赛'!D40*30</f>
        <v>15704.469</v>
      </c>
      <c r="E40" s="16">
        <f>'C５级比赛'!E40*30</f>
        <v>14657.5044</v>
      </c>
      <c r="F40" s="16">
        <f>'C５级比赛'!F40*30</f>
        <v>8375.7168</v>
      </c>
      <c r="G40" s="16">
        <f>'C５级比赛'!G40*30</f>
        <v>6979.764</v>
      </c>
      <c r="H40" s="16">
        <f>'C５级比赛'!H40*30</f>
        <v>5982.65485714286</v>
      </c>
      <c r="I40" s="16">
        <f>'C５级比赛'!I40*30</f>
        <v>5234.823</v>
      </c>
      <c r="J40" s="16">
        <f>'C５级比赛'!J40*30</f>
        <v>4653.176</v>
      </c>
      <c r="K40" s="16">
        <f>'C５级比赛'!K40*30</f>
        <v>4187.8584</v>
      </c>
      <c r="L40" s="16">
        <f>'C５级比赛'!L40*30</f>
        <v>3807.144</v>
      </c>
      <c r="M40" s="16">
        <f>'C５级比赛'!M40*30</f>
        <v>3489.882</v>
      </c>
      <c r="N40" s="16">
        <f>'C５级比赛'!N40*30</f>
        <v>3221.42953846154</v>
      </c>
      <c r="O40" s="16">
        <f>'C５级比赛'!O40*30</f>
        <v>2991.32742857143</v>
      </c>
      <c r="P40" s="16">
        <f>'C５级比赛'!P40*30</f>
        <v>2791.9056</v>
      </c>
      <c r="Q40" s="16">
        <f>'C５级比赛'!Q40*30</f>
        <v>2617.4115</v>
      </c>
      <c r="R40" s="16">
        <f>'C５级比赛'!R40*30</f>
        <v>2326.588</v>
      </c>
      <c r="S40" s="16">
        <f>'C５级比赛'!S40*30</f>
        <v>2093.9292</v>
      </c>
      <c r="T40" s="16">
        <f>'C５级比赛'!T40*30</f>
        <v>1610.71476923077</v>
      </c>
      <c r="U40" s="16">
        <f>'C５级比赛'!U40*30</f>
        <v>1395.9528</v>
      </c>
      <c r="V40" s="16">
        <f>'C５级比赛'!V40*30</f>
        <v>1021.42887804878</v>
      </c>
      <c r="W40" s="16">
        <f>'C５级比赛'!W40*30</f>
        <v>821.148705882353</v>
      </c>
      <c r="X40" s="16">
        <f>'C５级比赛'!X40*30</f>
        <v>686.534163934426</v>
      </c>
      <c r="Y40" s="16">
        <f>'C５级比赛'!Y40*30</f>
        <v>589.839211267606</v>
      </c>
      <c r="Z40" s="16">
        <f>'C５级比赛'!Z40*30</f>
        <v>517.019555555556</v>
      </c>
      <c r="AA40" s="16">
        <f>'C５级比赛'!AA40*30</f>
        <v>460.20421978022</v>
      </c>
      <c r="AB40" s="16">
        <f>'C５级比赛'!AB40*30</f>
        <v>418.78584</v>
      </c>
      <c r="AC40" s="16">
        <f>'C５级比赛'!AC40*30</f>
        <v>346.104</v>
      </c>
      <c r="AD40" s="16">
        <f>'C５级比赛'!AD40*30</f>
        <v>270.010212765957</v>
      </c>
      <c r="AE40" s="16">
        <f>'C５级比赛'!AE40*30</f>
        <v>236.468571428571</v>
      </c>
      <c r="AF40" s="25">
        <f>'C５级比赛'!AF40*30</f>
        <v>210.339447513812</v>
      </c>
      <c r="AG40" s="25">
        <f>'C５级比赛'!AG40*30</f>
        <v>189.410149253731</v>
      </c>
      <c r="AH40" s="25">
        <f>'C５级比赛'!AH40*30</f>
        <v>126.483189368771</v>
      </c>
      <c r="AI40" s="25">
        <f>'C５级比赛'!AI40*30</f>
        <v>94.941246882793</v>
      </c>
      <c r="AJ40" s="25">
        <f>'C５级比赛'!AJ40*30</f>
        <v>60.7927185628743</v>
      </c>
      <c r="AK40" s="25">
        <f>'C５级比赛'!AK40*30</f>
        <v>40.5554620505992</v>
      </c>
      <c r="AL40" s="25">
        <f>'C５级比赛'!AL40*30</f>
        <v>30.4267252747253</v>
      </c>
      <c r="AM40" s="39">
        <f>'C５级比赛'!AM40*30</f>
        <v>315362.990190446</v>
      </c>
      <c r="AN40" s="27">
        <f>'C５级比赛'!AN40*30</f>
        <v>105.085968074124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</row>
    <row r="41" spans="1:172">
      <c r="A41" s="22" t="s">
        <v>79</v>
      </c>
      <c r="B41" s="16">
        <f>'C５级比赛'!B41*30</f>
        <v>21891.078</v>
      </c>
      <c r="C41" s="16">
        <f>'C５级比赛'!C41*30</f>
        <v>19920.88098</v>
      </c>
      <c r="D41" s="16">
        <f>'C５级比赛'!D41*30</f>
        <v>18060.13935</v>
      </c>
      <c r="E41" s="16">
        <f>'C５级比赛'!E41*30</f>
        <v>16856.13006</v>
      </c>
      <c r="F41" s="16">
        <f>'C５级比赛'!F41*30</f>
        <v>11383.36056</v>
      </c>
      <c r="G41" s="16">
        <f>'C５级比赛'!G41*30</f>
        <v>9486.1338</v>
      </c>
      <c r="H41" s="16">
        <f>'C５级比赛'!H41*30</f>
        <v>8130.97182857143</v>
      </c>
      <c r="I41" s="16">
        <f>'C５级比赛'!I41*30</f>
        <v>7114.60035</v>
      </c>
      <c r="J41" s="16">
        <f>'C５级比赛'!J41*30</f>
        <v>6324.0892</v>
      </c>
      <c r="K41" s="16">
        <f>'C５级比赛'!K41*30</f>
        <v>5691.68028</v>
      </c>
      <c r="L41" s="16">
        <f>'C５级比赛'!L41*30</f>
        <v>5174.2548</v>
      </c>
      <c r="M41" s="16">
        <f>'C５级比赛'!M41*30</f>
        <v>4743.0669</v>
      </c>
      <c r="N41" s="16">
        <f>'C５级比赛'!N41*30</f>
        <v>4378.2156</v>
      </c>
      <c r="O41" s="16">
        <f>'C５级比赛'!O41*30</f>
        <v>4065.48591428572</v>
      </c>
      <c r="P41" s="16">
        <f>'C５级比赛'!P41*30</f>
        <v>3794.45352</v>
      </c>
      <c r="Q41" s="16">
        <f>'C５级比赛'!Q41*30</f>
        <v>3557.300175</v>
      </c>
      <c r="R41" s="16">
        <f>'C５级比赛'!R41*30</f>
        <v>3162.0446</v>
      </c>
      <c r="S41" s="16">
        <f>'C５级比赛'!S41*30</f>
        <v>2845.84014</v>
      </c>
      <c r="T41" s="16">
        <f>'C５级比赛'!T41*30</f>
        <v>2189.1078</v>
      </c>
      <c r="U41" s="16">
        <f>'C５级比赛'!U41*30</f>
        <v>1897.22676</v>
      </c>
      <c r="V41" s="16">
        <f>'C５级比赛'!V41*30</f>
        <v>1388.21470243902</v>
      </c>
      <c r="W41" s="16">
        <f>'C５级比赛'!W41*30</f>
        <v>1116.01574117647</v>
      </c>
      <c r="X41" s="16">
        <f>'C５级比赛'!X41*30</f>
        <v>933.062340983607</v>
      </c>
      <c r="Y41" s="16">
        <f>'C５级比赛'!Y41*30</f>
        <v>801.645109859155</v>
      </c>
      <c r="Z41" s="16">
        <f>'C５级比赛'!Z41*30</f>
        <v>702.676577777778</v>
      </c>
      <c r="AA41" s="16">
        <f>'C５级比赛'!AA41*30</f>
        <v>625.459371428571</v>
      </c>
      <c r="AB41" s="16">
        <f>'C５级比赛'!AB41*30</f>
        <v>569.168028</v>
      </c>
      <c r="AC41" s="16">
        <f>'C５级比赛'!AC41*30</f>
        <v>398.0196</v>
      </c>
      <c r="AD41" s="16">
        <f>'C５级比赛'!AD41*30</f>
        <v>341.562919148936</v>
      </c>
      <c r="AE41" s="16">
        <f>'C５级比赛'!AE41*30</f>
        <v>299.132742857143</v>
      </c>
      <c r="AF41" s="25">
        <f>'C５级比赛'!AF41*30</f>
        <v>266.079401104972</v>
      </c>
      <c r="AG41" s="25">
        <f>'C５级比赛'!AG41*30</f>
        <v>239.60383880597</v>
      </c>
      <c r="AH41" s="25">
        <f>'C５级比赛'!AH41*30</f>
        <v>145.455667774086</v>
      </c>
      <c r="AI41" s="25">
        <f>'C５级比赛'!AI41*30</f>
        <v>109.182433915212</v>
      </c>
      <c r="AJ41" s="25">
        <f>'C５级比赛'!AJ41*30</f>
        <v>87.3895329341318</v>
      </c>
      <c r="AK41" s="25">
        <f>'C５级比赛'!AK41*30</f>
        <v>58.2984766977364</v>
      </c>
      <c r="AL41" s="25">
        <f>'C５级比赛'!AL41*30</f>
        <v>43.7384175824176</v>
      </c>
      <c r="AM41" s="25">
        <f>'C５级比赛'!AM41*30</f>
        <v>23.3349265822785</v>
      </c>
      <c r="AN41" s="39">
        <f>'C５级比赛'!AN41*30</f>
        <v>420295.143391566</v>
      </c>
      <c r="AO41" s="27">
        <f>'C５级比赛'!AO41*30</f>
        <v>105.0475239669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</row>
    <row r="42" spans="1:172">
      <c r="A42" s="22" t="s">
        <v>80</v>
      </c>
      <c r="B42" s="16">
        <f>'C５级比赛'!B42*30</f>
        <v>25174.7397</v>
      </c>
      <c r="C42" s="16">
        <f>'C５级比赛'!C42*30</f>
        <v>22909.013127</v>
      </c>
      <c r="D42" s="16">
        <f>'C５级比赛'!D42*30</f>
        <v>20769.1602525</v>
      </c>
      <c r="E42" s="16">
        <f>'C５级比赛'!E42*30</f>
        <v>19384.549569</v>
      </c>
      <c r="F42" s="16">
        <f>'C５级比赛'!F42*30</f>
        <v>16615.328202</v>
      </c>
      <c r="G42" s="16">
        <f>'C５级比赛'!G42*30</f>
        <v>13846.106835</v>
      </c>
      <c r="H42" s="16">
        <f>'C５级比赛'!H42*30</f>
        <v>11868.0915728571</v>
      </c>
      <c r="I42" s="16">
        <f>'C５级比赛'!I42*30</f>
        <v>10384.58012625</v>
      </c>
      <c r="J42" s="16">
        <f>'C５级比赛'!J42*30</f>
        <v>9230.73789</v>
      </c>
      <c r="K42" s="16">
        <f>'C５级比赛'!K42*30</f>
        <v>8307.664101</v>
      </c>
      <c r="L42" s="16">
        <f>'C５级比赛'!L42*30</f>
        <v>7552.42191</v>
      </c>
      <c r="M42" s="16">
        <f>'C５级比赛'!M42*30</f>
        <v>6923.0534175</v>
      </c>
      <c r="N42" s="16">
        <f>'C５级比赛'!N42*30</f>
        <v>6390.51084692308</v>
      </c>
      <c r="O42" s="16">
        <f>'C５级比赛'!O42*30</f>
        <v>5934.04578642857</v>
      </c>
      <c r="P42" s="16">
        <f>'C５级比赛'!P42*30</f>
        <v>5538.442734</v>
      </c>
      <c r="Q42" s="16">
        <f>'C５级比赛'!Q42*30</f>
        <v>5192.290063125</v>
      </c>
      <c r="R42" s="16">
        <f>'C５级比赛'!R42*30</f>
        <v>4615.368945</v>
      </c>
      <c r="S42" s="16">
        <f>'C５级比赛'!S42*30</f>
        <v>4153.8320505</v>
      </c>
      <c r="T42" s="16">
        <f>'C５级比赛'!T42*30</f>
        <v>3195.25542346154</v>
      </c>
      <c r="U42" s="16">
        <f>'C５级比赛'!U42*30</f>
        <v>2769.221367</v>
      </c>
      <c r="V42" s="16">
        <f>'C５级比赛'!V42*30</f>
        <v>2026.25953682927</v>
      </c>
      <c r="W42" s="16">
        <f>'C５级比赛'!W42*30</f>
        <v>1628.95374529412</v>
      </c>
      <c r="X42" s="16">
        <f>'C５级比赛'!X42*30</f>
        <v>1361.91214770492</v>
      </c>
      <c r="Y42" s="16">
        <f>'C５级比赛'!Y42*30</f>
        <v>1170.09353535211</v>
      </c>
      <c r="Z42" s="16">
        <f>'C５级比赛'!Z42*30</f>
        <v>1025.63754333333</v>
      </c>
      <c r="AA42" s="16">
        <f>'C５级比赛'!AA42*30</f>
        <v>912.930120989011</v>
      </c>
      <c r="AB42" s="16">
        <f>'C５级比赛'!AB42*30</f>
        <v>830.7664101</v>
      </c>
      <c r="AC42" s="16">
        <f>'C５级比赛'!AC42*30</f>
        <v>686.58381</v>
      </c>
      <c r="AD42" s="16">
        <f>'C５级比赛'!AD42*30</f>
        <v>589.196035531915</v>
      </c>
      <c r="AE42" s="16">
        <f>'C５级比赛'!AE42*30</f>
        <v>516.003981428571</v>
      </c>
      <c r="AF42" s="25">
        <f>'C５级比赛'!AF42*30</f>
        <v>458.986966906077</v>
      </c>
      <c r="AG42" s="25">
        <f>'C５级比赛'!AG42*30</f>
        <v>413.316621940298</v>
      </c>
      <c r="AH42" s="25">
        <f>'C５级比赛'!AH42*30</f>
        <v>250.911026910299</v>
      </c>
      <c r="AI42" s="25">
        <f>'C５级比赛'!AI42*30</f>
        <v>188.339698503741</v>
      </c>
      <c r="AJ42" s="25">
        <f>'C５级比赛'!AJ42*30</f>
        <v>150.746944311377</v>
      </c>
      <c r="AK42" s="25">
        <f>'C５级比赛'!AK42*30</f>
        <v>83.804060252996</v>
      </c>
      <c r="AL42" s="25">
        <f>'C５级比赛'!AL42*30</f>
        <v>50.2991802197802</v>
      </c>
      <c r="AM42" s="25">
        <f>'C５级比赛'!AM42*30</f>
        <v>33.5439569620253</v>
      </c>
      <c r="AN42" s="25">
        <f>'C５级比赛'!AN42*30</f>
        <v>22.6459427586207</v>
      </c>
      <c r="AO42" s="39">
        <f>'C５级比赛'!AO42*30</f>
        <v>630847.391671926</v>
      </c>
      <c r="AP42" s="27">
        <f>'C５级比赛'!AP42*30</f>
        <v>105.123711326767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</row>
    <row r="43" spans="1:172">
      <c r="A43" s="22" t="s">
        <v>81</v>
      </c>
      <c r="B43" s="16">
        <f>'C５级比赛'!B43*30</f>
        <v>28950.950655</v>
      </c>
      <c r="C43" s="16">
        <f>'C５级比赛'!C43*30</f>
        <v>26345.36509605</v>
      </c>
      <c r="D43" s="16">
        <f>'C５级比赛'!D43*30</f>
        <v>23884.534290375</v>
      </c>
      <c r="E43" s="16">
        <f>'C５级比赛'!E43*30</f>
        <v>22292.23200435</v>
      </c>
      <c r="F43" s="16">
        <f>'C５级比赛'!F43*30</f>
        <v>20844.6844716</v>
      </c>
      <c r="G43" s="16">
        <f>'C５级比赛'!G43*30</f>
        <v>17370.570393</v>
      </c>
      <c r="H43" s="16">
        <f>'C５级比赛'!H43*30</f>
        <v>14889.0603368571</v>
      </c>
      <c r="I43" s="16">
        <f>'C５级比赛'!I43*30</f>
        <v>13027.92779475</v>
      </c>
      <c r="J43" s="16">
        <f>'C５级比赛'!J43*30</f>
        <v>11580.380262</v>
      </c>
      <c r="K43" s="16">
        <f>'C５级比赛'!K43*30</f>
        <v>10422.3422358</v>
      </c>
      <c r="L43" s="16">
        <f>'C５级比赛'!L43*30</f>
        <v>9474.856578</v>
      </c>
      <c r="M43" s="16">
        <f>'C５级比赛'!M43*30</f>
        <v>8685.2851965</v>
      </c>
      <c r="N43" s="16">
        <f>'C５级比赛'!N43*30</f>
        <v>8017.18633523077</v>
      </c>
      <c r="O43" s="16">
        <f>'C５级比赛'!O43*30</f>
        <v>7444.53016842857</v>
      </c>
      <c r="P43" s="16">
        <f>'C５级比赛'!P43*30</f>
        <v>6948.2281572</v>
      </c>
      <c r="Q43" s="16">
        <f>'C５级比赛'!Q43*30</f>
        <v>6513.963897375</v>
      </c>
      <c r="R43" s="16">
        <f>'C５级比赛'!R43*30</f>
        <v>5790.190131</v>
      </c>
      <c r="S43" s="16">
        <f>'C５级比赛'!S43*30</f>
        <v>5211.1711179</v>
      </c>
      <c r="T43" s="16">
        <f>'C５级比赛'!T43*30</f>
        <v>4008.59316761539</v>
      </c>
      <c r="U43" s="16">
        <f>'C５级比赛'!U43*30</f>
        <v>3474.1140786</v>
      </c>
      <c r="V43" s="16">
        <f>'C５级比赛'!V43*30</f>
        <v>2542.03469165854</v>
      </c>
      <c r="W43" s="16">
        <f>'C５级比赛'!W43*30</f>
        <v>2043.59651682353</v>
      </c>
      <c r="X43" s="16">
        <f>'C５级比赛'!X43*30</f>
        <v>1708.58069439344</v>
      </c>
      <c r="Y43" s="16">
        <f>'C５级比赛'!Y43*30</f>
        <v>1467.93552616901</v>
      </c>
      <c r="Z43" s="16">
        <f>'C５级比赛'!Z43*30</f>
        <v>1286.708918</v>
      </c>
      <c r="AA43" s="16">
        <f>'C５级比赛'!AA43*30</f>
        <v>1145.3123336044</v>
      </c>
      <c r="AB43" s="16">
        <f>'C５级比赛'!AB43*30</f>
        <v>1042.23422358</v>
      </c>
      <c r="AC43" s="16">
        <f>'C５级比赛'!AC43*30</f>
        <v>861.350598</v>
      </c>
      <c r="AD43" s="16">
        <f>'C５级比赛'!AD43*30</f>
        <v>718.640619095745</v>
      </c>
      <c r="AE43" s="16">
        <f>'C５级比赛'!AE43*30</f>
        <v>629.3684925</v>
      </c>
      <c r="AF43" s="25">
        <f>'C５级比赛'!AF43*30</f>
        <v>559.825012665746</v>
      </c>
      <c r="AG43" s="25">
        <f>'C５级比赛'!AG43*30</f>
        <v>504.12103130597</v>
      </c>
      <c r="AH43" s="25">
        <f>'C５级比赛'!AH43*30</f>
        <v>317.402449041528</v>
      </c>
      <c r="AI43" s="25">
        <f>'C５级比赛'!AI43*30</f>
        <v>238.249718607232</v>
      </c>
      <c r="AJ43" s="25">
        <f>'C５级比赛'!AJ43*30</f>
        <v>179.137618823353</v>
      </c>
      <c r="AK43" s="25">
        <f>'C５级比赛'!AK43*30</f>
        <v>115.649603149134</v>
      </c>
      <c r="AL43" s="25">
        <f>'C５级比赛'!AL43*30</f>
        <v>86.7660858791209</v>
      </c>
      <c r="AM43" s="25">
        <f>'C５级比赛'!AM43*30</f>
        <v>57.8633257594937</v>
      </c>
      <c r="AN43" s="25">
        <f>'C５级比赛'!AN43*30</f>
        <v>43.4047236206897</v>
      </c>
      <c r="AO43" s="25">
        <f>'C５级比赛'!AO43*30</f>
        <v>27.0118833168944</v>
      </c>
      <c r="AP43" s="39">
        <f>'C５级比赛'!AP43*30</f>
        <v>841992.098245274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</row>
    <row r="44" s="2" customFormat="1" ht="21.6" spans="1:172">
      <c r="A44" s="19" t="s">
        <v>82</v>
      </c>
      <c r="B44" s="13">
        <f>'C５级比赛'!B44*30</f>
        <v>33293.59325325</v>
      </c>
      <c r="C44" s="13">
        <f>'C５级比赛'!C44*30</f>
        <v>30297.1698604575</v>
      </c>
      <c r="D44" s="13">
        <f>'C５级比赛'!D44*30</f>
        <v>27467.2144339312</v>
      </c>
      <c r="E44" s="13">
        <f>'C５级比赛'!E44*30</f>
        <v>25636.0668050025</v>
      </c>
      <c r="F44" s="13">
        <f>'C５级比赛'!F44*30</f>
        <v>23971.38714234</v>
      </c>
      <c r="G44" s="13">
        <f>'C５级比赛'!G44*30</f>
        <v>19976.15595195</v>
      </c>
      <c r="H44" s="13">
        <f>'C５级比赛'!H44*30</f>
        <v>17122.4193873857</v>
      </c>
      <c r="I44" s="13">
        <f>'C５级比赛'!I44*30</f>
        <v>14982.1169639625</v>
      </c>
      <c r="J44" s="13">
        <f>'C５级比赛'!J44*30</f>
        <v>13317.4373013</v>
      </c>
      <c r="K44" s="13">
        <f>'C５级比赛'!K44*30</f>
        <v>11985.69357117</v>
      </c>
      <c r="L44" s="13">
        <f>'C５级比赛'!L44*30</f>
        <v>10896.0850647</v>
      </c>
      <c r="M44" s="13">
        <f>'C５级比赛'!M44*30</f>
        <v>9988.077975975</v>
      </c>
      <c r="N44" s="13">
        <f>'C５级比赛'!N44*30</f>
        <v>9219.76428551538</v>
      </c>
      <c r="O44" s="13">
        <f>'C５级比赛'!O44*30</f>
        <v>8561.20969369286</v>
      </c>
      <c r="P44" s="13">
        <f>'C５级比赛'!P44*30</f>
        <v>7990.46238078</v>
      </c>
      <c r="Q44" s="13">
        <f>'C５级比赛'!Q44*30</f>
        <v>7491.05848198125</v>
      </c>
      <c r="R44" s="13">
        <f>'C５级比赛'!R44*30</f>
        <v>6658.71865065</v>
      </c>
      <c r="S44" s="13">
        <f>'C５级比赛'!S44*30</f>
        <v>5992.846785585</v>
      </c>
      <c r="T44" s="13">
        <f>'C５级比赛'!T44*30</f>
        <v>4609.88214275769</v>
      </c>
      <c r="U44" s="13">
        <f>'C５级比赛'!U44*30</f>
        <v>3995.23119039</v>
      </c>
      <c r="V44" s="13">
        <f>'C５级比赛'!V44*30</f>
        <v>2923.33989540732</v>
      </c>
      <c r="W44" s="13">
        <f>'C５级比赛'!W44*30</f>
        <v>2350.13599434706</v>
      </c>
      <c r="X44" s="13">
        <f>'C５级比赛'!X44*30</f>
        <v>1964.86779855246</v>
      </c>
      <c r="Y44" s="13">
        <f>'C５级比赛'!Y44*30</f>
        <v>1688.12585509437</v>
      </c>
      <c r="Z44" s="13">
        <f>'C５级比赛'!Z44*30</f>
        <v>1479.7152557</v>
      </c>
      <c r="AA44" s="13">
        <f>'C５级比赛'!AA44*30</f>
        <v>1317.10918364506</v>
      </c>
      <c r="AB44" s="13">
        <f>'C５级比赛'!AB44*30</f>
        <v>1198.569357117</v>
      </c>
      <c r="AC44" s="13">
        <f>'C５级比赛'!AC44*30</f>
        <v>990.5531877</v>
      </c>
      <c r="AD44" s="13">
        <f>'C５级比赛'!AD44*30</f>
        <v>850.049189444681</v>
      </c>
      <c r="AE44" s="13">
        <f>'C５级比赛'!AE44*30</f>
        <v>744.453016842857</v>
      </c>
      <c r="AF44" s="29">
        <f>'C５级比赛'!AF44*30</f>
        <v>662.193014981768</v>
      </c>
      <c r="AG44" s="29">
        <f>'C５级比赛'!AG44*30</f>
        <v>596.303162744776</v>
      </c>
      <c r="AH44" s="29">
        <f>'C５级比赛'!AH44*30</f>
        <v>398.195799706645</v>
      </c>
      <c r="AI44" s="29">
        <f>'C５级比赛'!AI44*30</f>
        <v>298.895101525436</v>
      </c>
      <c r="AJ44" s="29">
        <f>'C５级比赛'!AJ44*30</f>
        <v>239.235400622156</v>
      </c>
      <c r="AK44" s="29">
        <f>'C５级比赛'!AK44*30</f>
        <v>159.596452345806</v>
      </c>
      <c r="AL44" s="29">
        <f>'C５级比赛'!AL44*30</f>
        <v>116.411165221154</v>
      </c>
      <c r="AM44" s="29">
        <f>'C５级比赛'!AM44*30</f>
        <v>77.6332953939873</v>
      </c>
      <c r="AN44" s="29">
        <f>'C５级比赛'!AN44*30</f>
        <v>58.2346708577586</v>
      </c>
      <c r="AO44" s="29">
        <f>'C５级比赛'!AO44*30</f>
        <v>38.8295822680357</v>
      </c>
      <c r="AP44" s="29">
        <f>'C５级比赛'!AP44*30</f>
        <v>29.1246129433579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</row>
    <row r="45" spans="1:172">
      <c r="A45" s="22" t="s">
        <v>83</v>
      </c>
      <c r="B45" s="16">
        <f>'C５级比赛'!B45*30</f>
        <v>33293.59325325</v>
      </c>
      <c r="C45" s="16">
        <f>'C５级比赛'!C45*30</f>
        <v>30297.1698604575</v>
      </c>
      <c r="D45" s="16">
        <f>'C５级比赛'!D45*30</f>
        <v>27467.2144339312</v>
      </c>
      <c r="E45" s="16">
        <f>'C５级比赛'!E45*30</f>
        <v>25636.0668050025</v>
      </c>
      <c r="F45" s="16">
        <f>'C５级比赛'!F45*30</f>
        <v>23971.38714234</v>
      </c>
      <c r="G45" s="16">
        <f>'C５级比赛'!G45*30</f>
        <v>19976.15595195</v>
      </c>
      <c r="H45" s="16">
        <f>'C５级比赛'!H45*30</f>
        <v>17122.4193873857</v>
      </c>
      <c r="I45" s="16">
        <f>'C５级比赛'!I45*30</f>
        <v>14982.1169639625</v>
      </c>
      <c r="J45" s="16">
        <f>'C５级比赛'!J45*30</f>
        <v>13317.4373013</v>
      </c>
      <c r="K45" s="16">
        <f>'C５级比赛'!K45*30</f>
        <v>11985.69357117</v>
      </c>
      <c r="L45" s="16">
        <f>'C５级比赛'!L45*30</f>
        <v>10896.0850647</v>
      </c>
      <c r="M45" s="16">
        <f>'C５级比赛'!M45*30</f>
        <v>9988.077975975</v>
      </c>
      <c r="N45" s="16">
        <f>'C５级比赛'!N45*30</f>
        <v>9219.76428551538</v>
      </c>
      <c r="O45" s="16">
        <f>'C５级比赛'!O45*30</f>
        <v>8561.20969369286</v>
      </c>
      <c r="P45" s="16">
        <f>'C５级比赛'!P45*30</f>
        <v>7990.46238078</v>
      </c>
      <c r="Q45" s="16">
        <f>'C５级比赛'!Q45*30</f>
        <v>7491.05848198125</v>
      </c>
      <c r="R45" s="16">
        <f>'C５级比赛'!R45*30</f>
        <v>6658.71865065</v>
      </c>
      <c r="S45" s="16">
        <f>'C５级比赛'!S45*30</f>
        <v>5992.846785585</v>
      </c>
      <c r="T45" s="16">
        <f>'C５级比赛'!T45*30</f>
        <v>4609.88214275769</v>
      </c>
      <c r="U45" s="16">
        <f>'C５级比赛'!U45*30</f>
        <v>3995.23119039</v>
      </c>
      <c r="V45" s="16">
        <f>'C５级比赛'!V45*30</f>
        <v>2923.33989540732</v>
      </c>
      <c r="W45" s="16">
        <f>'C５级比赛'!W45*30</f>
        <v>2350.13599434706</v>
      </c>
      <c r="X45" s="16">
        <f>'C５级比赛'!X45*30</f>
        <v>1964.86779855246</v>
      </c>
      <c r="Y45" s="16">
        <f>'C５级比赛'!Y45*30</f>
        <v>1688.12585509437</v>
      </c>
      <c r="Z45" s="16">
        <f>'C５级比赛'!Z45*30</f>
        <v>1479.7152557</v>
      </c>
      <c r="AA45" s="16">
        <f>'C５级比赛'!AA45*30</f>
        <v>1317.10918364506</v>
      </c>
      <c r="AB45" s="16">
        <f>'C５级比赛'!AB45*30</f>
        <v>1198.569357117</v>
      </c>
      <c r="AC45" s="16">
        <f>'C５级比赛'!AC45*30</f>
        <v>990.5531877</v>
      </c>
      <c r="AD45" s="16">
        <f>'C５级比赛'!AD45*30</f>
        <v>850.049189444681</v>
      </c>
      <c r="AE45" s="16">
        <f>'C５级比赛'!AE45*30</f>
        <v>744.453016842857</v>
      </c>
      <c r="AF45" s="25">
        <f>'C５级比赛'!AF45*30</f>
        <v>662.193014981768</v>
      </c>
      <c r="AG45" s="25">
        <f>'C５级比赛'!AG45*30</f>
        <v>596.303162744776</v>
      </c>
      <c r="AH45" s="25">
        <f>'C５级比赛'!AH45*30</f>
        <v>398.195799706645</v>
      </c>
      <c r="AI45" s="25">
        <f>'C５级比赛'!AI45*30</f>
        <v>298.895101525436</v>
      </c>
      <c r="AJ45" s="25">
        <f>'C５级比赛'!AJ45*30</f>
        <v>239.235400622156</v>
      </c>
      <c r="AK45" s="25">
        <f>'C５级比赛'!AK45*30</f>
        <v>159.596452345806</v>
      </c>
      <c r="AL45" s="25">
        <f>'C５级比赛'!AL45*30</f>
        <v>116.411165221154</v>
      </c>
      <c r="AM45" s="25">
        <f>'C５级比赛'!AM45*30</f>
        <v>77.6332953939873</v>
      </c>
      <c r="AN45" s="25">
        <f>'C５级比赛'!AN45*30</f>
        <v>58.2346708577586</v>
      </c>
      <c r="AO45" s="25">
        <f>'C５级比赛'!AO45*30</f>
        <v>38.8295822680357</v>
      </c>
      <c r="AP45" s="25">
        <f>'C５级比赛'!AP45*30</f>
        <v>29.1246129433579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conditionalFormatting sqref="1:1048576">
    <cfRule type="cellIs" dxfId="2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P67"/>
  <sheetViews>
    <sheetView topLeftCell="A15" workbookViewId="0">
      <selection activeCell="V24" sqref="V24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85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'C５级比赛'!B4*30</f>
        <v>150</v>
      </c>
      <c r="C4" s="38">
        <v>150</v>
      </c>
      <c r="D4" s="15">
        <v>75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'C５级比赛'!B5*30</f>
        <v>180</v>
      </c>
      <c r="C5" s="18">
        <f>'C５级比赛'!C5*30</f>
        <v>126</v>
      </c>
      <c r="D5" s="38">
        <f>'C５级比赛'!D5*30</f>
        <v>306</v>
      </c>
      <c r="E5" s="15">
        <f>'C５级比赛'!E5*30</f>
        <v>76.5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'C５级比赛'!B6*30</f>
        <v>210</v>
      </c>
      <c r="C6" s="18">
        <f>'C５级比赛'!C6*30</f>
        <v>147</v>
      </c>
      <c r="D6" s="16">
        <f>'C５级比赛'!D6*30</f>
        <v>105</v>
      </c>
      <c r="E6" s="38">
        <f>'C５级比赛'!E6*30</f>
        <v>462</v>
      </c>
      <c r="F6" s="15">
        <f>'C５级比赛'!F6*30</f>
        <v>77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172">
      <c r="A7" s="17" t="s">
        <v>45</v>
      </c>
      <c r="B7" s="18">
        <f>'C５级比赛'!B7*30</f>
        <v>255</v>
      </c>
      <c r="C7" s="18">
        <f>'C５级比赛'!C7*30</f>
        <v>178.5</v>
      </c>
      <c r="D7" s="16">
        <f>'C５级比赛'!D7*30</f>
        <v>127.5</v>
      </c>
      <c r="E7" s="16">
        <f>'C５级比赛'!E7*30</f>
        <v>89.25</v>
      </c>
      <c r="F7" s="38">
        <f>'C５级比赛'!F7*30</f>
        <v>650.25</v>
      </c>
      <c r="G7" s="15">
        <f>'C５级比赛'!G7*30</f>
        <v>81.28125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</row>
    <row r="8" s="3" customFormat="1" spans="1:50">
      <c r="A8" s="19" t="s">
        <v>46</v>
      </c>
      <c r="B8" s="13">
        <f>'C５级比赛'!B8*30</f>
        <v>300</v>
      </c>
      <c r="C8" s="13">
        <f>'C５级比赛'!C8*30</f>
        <v>210</v>
      </c>
      <c r="D8" s="13">
        <f>'C５级比赛'!D8*30</f>
        <v>150</v>
      </c>
      <c r="E8" s="13">
        <f>'C５级比赛'!E8*30</f>
        <v>105</v>
      </c>
      <c r="F8" s="13">
        <f>'C５级比赛'!F8*30</f>
        <v>60</v>
      </c>
      <c r="G8" s="38">
        <f>'C５级比赛'!G8*30</f>
        <v>825</v>
      </c>
      <c r="H8" s="15">
        <f>'C５级比赛'!H8*30</f>
        <v>82.5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172">
      <c r="A9" s="17" t="s">
        <v>47</v>
      </c>
      <c r="B9" s="18">
        <f>'C５级比赛'!B9*30</f>
        <v>360</v>
      </c>
      <c r="C9" s="18">
        <f>'C５级比赛'!C9*30</f>
        <v>252</v>
      </c>
      <c r="D9" s="16">
        <f>'C５级比赛'!D9*30</f>
        <v>180</v>
      </c>
      <c r="E9" s="16">
        <f>'C５级比赛'!E9*30</f>
        <v>126</v>
      </c>
      <c r="F9" s="16">
        <f>'C５级比赛'!F9*30</f>
        <v>72</v>
      </c>
      <c r="G9" s="16">
        <f>'C５级比赛'!G9*30</f>
        <v>60</v>
      </c>
      <c r="H9" s="38">
        <f>'C５级比赛'!H9*30</f>
        <v>1050</v>
      </c>
      <c r="I9" s="15">
        <f>'C５级比赛'!I9*30</f>
        <v>87.5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</row>
    <row r="10" spans="1:172">
      <c r="A10" s="20" t="s">
        <v>48</v>
      </c>
      <c r="B10" s="18">
        <f>'C５级比赛'!B10*30</f>
        <v>405</v>
      </c>
      <c r="C10" s="18">
        <f>'C５级比赛'!C10*30</f>
        <v>283.5</v>
      </c>
      <c r="D10" s="16">
        <f>'C５级比赛'!D10*30</f>
        <v>202.5</v>
      </c>
      <c r="E10" s="16">
        <f>'C５级比赛'!E10*30</f>
        <v>141.75</v>
      </c>
      <c r="F10" s="16">
        <f>'C５级比赛'!F10*30</f>
        <v>81</v>
      </c>
      <c r="G10" s="16">
        <f>'C５级比赛'!G10*30</f>
        <v>67.5</v>
      </c>
      <c r="H10" s="16">
        <f>'C５级比赛'!H10*30</f>
        <v>57.8571428571429</v>
      </c>
      <c r="I10" s="38">
        <f>'C５级比赛'!I10*30</f>
        <v>1239.10714285714</v>
      </c>
      <c r="J10" s="15">
        <f>'C５级比赛'!J10*30</f>
        <v>88.5076530612245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</row>
    <row r="11" spans="1:172">
      <c r="A11" s="20" t="s">
        <v>49</v>
      </c>
      <c r="B11" s="18">
        <f>'C５级比赛'!B11*30</f>
        <v>465</v>
      </c>
      <c r="C11" s="18">
        <f>'C５级比赛'!C11*30</f>
        <v>325.5</v>
      </c>
      <c r="D11" s="16">
        <f>'C５级比赛'!D11*30</f>
        <v>232.5</v>
      </c>
      <c r="E11" s="16">
        <f>'C５级比赛'!E11*30</f>
        <v>162.75</v>
      </c>
      <c r="F11" s="16">
        <f>'C５级比赛'!F11*30</f>
        <v>93</v>
      </c>
      <c r="G11" s="16">
        <f>'C５级比赛'!G11*30</f>
        <v>77.5</v>
      </c>
      <c r="H11" s="16">
        <f>'C５级比赛'!H11*30</f>
        <v>66.4285714285714</v>
      </c>
      <c r="I11" s="16">
        <f>'C５级比赛'!I11*30</f>
        <v>58.125</v>
      </c>
      <c r="J11" s="38">
        <f>'C５级比赛'!J11*30</f>
        <v>1480.80357142857</v>
      </c>
      <c r="K11" s="15">
        <f>'C５级比赛'!K11*30</f>
        <v>92.5502232142857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</row>
    <row r="12" spans="1:172">
      <c r="A12" s="20" t="s">
        <v>50</v>
      </c>
      <c r="B12" s="18">
        <f>'C５级比赛'!B12*30</f>
        <v>510</v>
      </c>
      <c r="C12" s="18">
        <f>'C５级比赛'!C12*30</f>
        <v>357</v>
      </c>
      <c r="D12" s="16">
        <f>'C５级比赛'!D12*30</f>
        <v>255</v>
      </c>
      <c r="E12" s="16">
        <f>'C５级比赛'!E12*30</f>
        <v>178.5</v>
      </c>
      <c r="F12" s="16">
        <f>'C５级比赛'!F12*30</f>
        <v>102</v>
      </c>
      <c r="G12" s="16">
        <f>'C５级比赛'!G12*30</f>
        <v>85</v>
      </c>
      <c r="H12" s="16">
        <f>'C５级比赛'!H12*30</f>
        <v>72.8571428571428</v>
      </c>
      <c r="I12" s="16">
        <f>'C５级比赛'!I12*30</f>
        <v>63.75</v>
      </c>
      <c r="J12" s="16">
        <f>'C５级比赛'!J12*30</f>
        <v>56.6666666666667</v>
      </c>
      <c r="K12" s="38">
        <f>'C５级比赛'!K12*30</f>
        <v>1680.77380952381</v>
      </c>
      <c r="L12" s="15">
        <f>'C５级比赛'!L12*30</f>
        <v>93.3763227513227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</row>
    <row r="13" s="3" customFormat="1" spans="1:50">
      <c r="A13" s="21" t="s">
        <v>51</v>
      </c>
      <c r="B13" s="18">
        <f>'C５级比赛'!B13*30</f>
        <v>555</v>
      </c>
      <c r="C13" s="18">
        <f>'C５级比赛'!C13*30</f>
        <v>388.5</v>
      </c>
      <c r="D13" s="16">
        <f>'C５级比赛'!D13*30</f>
        <v>277.5</v>
      </c>
      <c r="E13" s="16">
        <f>'C５级比赛'!E13*30</f>
        <v>194.25</v>
      </c>
      <c r="F13" s="16">
        <f>'C５级比赛'!F13*30</f>
        <v>111</v>
      </c>
      <c r="G13" s="16">
        <f>'C５级比赛'!G13*30</f>
        <v>92.5</v>
      </c>
      <c r="H13" s="16">
        <f>'C５级比赛'!H13*30</f>
        <v>79.2857142857143</v>
      </c>
      <c r="I13" s="16">
        <f>'C５级比赛'!I13*30</f>
        <v>69.375</v>
      </c>
      <c r="J13" s="16">
        <f>'C５级比赛'!J13*30</f>
        <v>61.6666666666667</v>
      </c>
      <c r="K13" s="16">
        <f>'C５级比赛'!K13*30</f>
        <v>55.5</v>
      </c>
      <c r="L13" s="38">
        <f>'C５级比赛'!L13*30</f>
        <v>1884.57738095238</v>
      </c>
      <c r="M13" s="15">
        <f>'C５级比赛'!M13*30</f>
        <v>94.2288690476191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72">
      <c r="A14" s="20" t="s">
        <v>52</v>
      </c>
      <c r="B14" s="18">
        <f>'C５级比赛'!B14*30</f>
        <v>600</v>
      </c>
      <c r="C14" s="18">
        <f>'C５级比赛'!C14*30</f>
        <v>420</v>
      </c>
      <c r="D14" s="16">
        <f>'C５级比赛'!D14*30</f>
        <v>300</v>
      </c>
      <c r="E14" s="16">
        <f>'C５级比赛'!E14*30</f>
        <v>210</v>
      </c>
      <c r="F14" s="16">
        <f>'C５级比赛'!F14*30</f>
        <v>120</v>
      </c>
      <c r="G14" s="16">
        <f>'C５级比赛'!G14*30</f>
        <v>100</v>
      </c>
      <c r="H14" s="16">
        <f>'C５级比赛'!H14*30</f>
        <v>85.7142857142857</v>
      </c>
      <c r="I14" s="16">
        <f>'C５级比赛'!I14*30</f>
        <v>75</v>
      </c>
      <c r="J14" s="16">
        <f>'C５级比赛'!J14*30</f>
        <v>66.6666666666667</v>
      </c>
      <c r="K14" s="16">
        <f>'C５级比赛'!K14*30</f>
        <v>60</v>
      </c>
      <c r="L14" s="16">
        <f>'C５级比赛'!L14*30</f>
        <v>54.5454545454545</v>
      </c>
      <c r="M14" s="38">
        <f>'C５级比赛'!M14*30</f>
        <v>2091.92640692641</v>
      </c>
      <c r="N14" s="15">
        <f>'C５级比赛'!N14*30</f>
        <v>95.0875639512003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</row>
    <row r="15" spans="1:172">
      <c r="A15" s="20" t="s">
        <v>53</v>
      </c>
      <c r="B15" s="18">
        <f>'C５级比赛'!B15*30</f>
        <v>645</v>
      </c>
      <c r="C15" s="18">
        <f>'C５级比赛'!C15*30</f>
        <v>451.5</v>
      </c>
      <c r="D15" s="16">
        <f>'C５级比赛'!D15*30</f>
        <v>322.5</v>
      </c>
      <c r="E15" s="16">
        <f>'C５级比赛'!E15*30</f>
        <v>225.75</v>
      </c>
      <c r="F15" s="16">
        <f>'C５级比赛'!F15*30</f>
        <v>129</v>
      </c>
      <c r="G15" s="16">
        <f>'C５级比赛'!G15*30</f>
        <v>107.5</v>
      </c>
      <c r="H15" s="16">
        <f>'C５级比赛'!H15*30</f>
        <v>92.1428571428572</v>
      </c>
      <c r="I15" s="16">
        <f>'C５级比赛'!I15*30</f>
        <v>80.625</v>
      </c>
      <c r="J15" s="16">
        <f>'C５级比赛'!J15*30</f>
        <v>71.6666666666667</v>
      </c>
      <c r="K15" s="16">
        <f>'C５级比赛'!K15*30</f>
        <v>64.5</v>
      </c>
      <c r="L15" s="16">
        <f>'C５级比赛'!L15*30</f>
        <v>58.6363636363636</v>
      </c>
      <c r="M15" s="16">
        <f>'C５级比赛'!M15*30</f>
        <v>53.75</v>
      </c>
      <c r="N15" s="38">
        <f>'C５级比赛'!N15*30</f>
        <v>2302.57088744589</v>
      </c>
      <c r="O15" s="15">
        <f>'C５级比赛'!O15*30</f>
        <v>95.9404536435786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</row>
    <row r="16" spans="1:172">
      <c r="A16" s="20" t="s">
        <v>54</v>
      </c>
      <c r="B16" s="18">
        <f>'C５级比赛'!B16*30</f>
        <v>684</v>
      </c>
      <c r="C16" s="18">
        <f>'C５级比赛'!C16*30</f>
        <v>478.8</v>
      </c>
      <c r="D16" s="16">
        <f>'C５级比赛'!D16*30</f>
        <v>342</v>
      </c>
      <c r="E16" s="16">
        <f>'C５级比赛'!E16*30</f>
        <v>239.4</v>
      </c>
      <c r="F16" s="16">
        <f>'C５级比赛'!F16*30</f>
        <v>136.8</v>
      </c>
      <c r="G16" s="16">
        <f>'C５级比赛'!G16*30</f>
        <v>114</v>
      </c>
      <c r="H16" s="16">
        <f>'C５级比赛'!H16*30</f>
        <v>97.7142857142857</v>
      </c>
      <c r="I16" s="16">
        <f>'C５级比赛'!I16*30</f>
        <v>85.5</v>
      </c>
      <c r="J16" s="16">
        <f>'C５级比赛'!J16*30</f>
        <v>76</v>
      </c>
      <c r="K16" s="16">
        <f>'C５级比赛'!K16*30</f>
        <v>68.4</v>
      </c>
      <c r="L16" s="16">
        <f>'C５级比赛'!L16*30</f>
        <v>62.1818181818182</v>
      </c>
      <c r="M16" s="16">
        <f>'C５级比赛'!M16*30</f>
        <v>57</v>
      </c>
      <c r="N16" s="16">
        <f>'C５级比赛'!N16*30</f>
        <v>52.6153846153846</v>
      </c>
      <c r="O16" s="38">
        <f>'C５级比赛'!O16*30</f>
        <v>2494.41148851149</v>
      </c>
      <c r="P16" s="15">
        <f>'C５级比赛'!P16*30</f>
        <v>95.938903404288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</row>
    <row r="17" spans="1:172">
      <c r="A17" s="20" t="s">
        <v>55</v>
      </c>
      <c r="B17" s="18">
        <f>'C５级比赛'!B17*30</f>
        <v>732</v>
      </c>
      <c r="C17" s="18">
        <f>'C５级比赛'!C17*30</f>
        <v>512.4</v>
      </c>
      <c r="D17" s="16">
        <f>'C５级比赛'!D17*30</f>
        <v>366</v>
      </c>
      <c r="E17" s="16">
        <f>'C５级比赛'!E17*30</f>
        <v>256.2</v>
      </c>
      <c r="F17" s="16">
        <f>'C５级比赛'!F17*30</f>
        <v>146.4</v>
      </c>
      <c r="G17" s="16">
        <f>'C５级比赛'!G17*30</f>
        <v>122</v>
      </c>
      <c r="H17" s="16">
        <f>'C５级比赛'!H17*30</f>
        <v>104.571428571429</v>
      </c>
      <c r="I17" s="16">
        <f>'C５级比赛'!I17*30</f>
        <v>91.5</v>
      </c>
      <c r="J17" s="16">
        <f>'C５级比赛'!J17*30</f>
        <v>81.3333333333333</v>
      </c>
      <c r="K17" s="16">
        <f>'C５级比赛'!K17*30</f>
        <v>73.2</v>
      </c>
      <c r="L17" s="16">
        <f>'C５级比赛'!L17*30</f>
        <v>66.5454545454545</v>
      </c>
      <c r="M17" s="16">
        <f>'C５级比赛'!M17*30</f>
        <v>61</v>
      </c>
      <c r="N17" s="16">
        <f>'C５级比赛'!N17*30</f>
        <v>56.3076923076923</v>
      </c>
      <c r="O17" s="16">
        <f>'C５级比赛'!O17*30</f>
        <v>52.2857142857143</v>
      </c>
      <c r="P17" s="38">
        <f>'C５级比赛'!P17*30</f>
        <v>2721.74362304362</v>
      </c>
      <c r="Q17" s="15">
        <f>'C５级比赛'!Q17*30</f>
        <v>97.2051293944151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</row>
    <row r="18" spans="1:172">
      <c r="A18" s="20" t="s">
        <v>56</v>
      </c>
      <c r="B18" s="18">
        <f>'C５级比赛'!B18*30</f>
        <v>780</v>
      </c>
      <c r="C18" s="18">
        <f>'C５级比赛'!C18*30</f>
        <v>546</v>
      </c>
      <c r="D18" s="16">
        <f>'C５级比赛'!D18*30</f>
        <v>390</v>
      </c>
      <c r="E18" s="16">
        <f>'C５级比赛'!E18*30</f>
        <v>273</v>
      </c>
      <c r="F18" s="16">
        <f>'C５级比赛'!F18*30</f>
        <v>156</v>
      </c>
      <c r="G18" s="16">
        <f>'C５级比赛'!G18*30</f>
        <v>130</v>
      </c>
      <c r="H18" s="16">
        <f>'C５级比赛'!H18*30</f>
        <v>111.428571428571</v>
      </c>
      <c r="I18" s="16">
        <f>'C５级比赛'!I18*30</f>
        <v>97.5</v>
      </c>
      <c r="J18" s="16">
        <f>'C５级比赛'!J18*30</f>
        <v>86.6666666666667</v>
      </c>
      <c r="K18" s="16">
        <f>'C５级比赛'!K18*30</f>
        <v>78</v>
      </c>
      <c r="L18" s="16">
        <f>'C５级比赛'!L18*30</f>
        <v>70.9090909090909</v>
      </c>
      <c r="M18" s="16">
        <f>'C５级比赛'!M18*30</f>
        <v>65</v>
      </c>
      <c r="N18" s="16">
        <f>'C５级比赛'!N18*30</f>
        <v>60</v>
      </c>
      <c r="O18" s="16">
        <f>'C５级比赛'!O18*30</f>
        <v>55.7142857142857</v>
      </c>
      <c r="P18" s="16">
        <f>'C５级比赛'!P18*30</f>
        <v>52</v>
      </c>
      <c r="Q18" s="38">
        <f>'C５级比赛'!Q18*30</f>
        <v>2952.21861471861</v>
      </c>
      <c r="R18" s="15">
        <f>'C５级比赛'!R18*30</f>
        <v>98.4072871572871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</row>
    <row r="19" spans="1:172">
      <c r="A19" s="20" t="s">
        <v>57</v>
      </c>
      <c r="B19" s="18">
        <f>'C５级比赛'!B19*30</f>
        <v>885</v>
      </c>
      <c r="C19" s="18">
        <f>'C５级比赛'!C19*30</f>
        <v>619.5</v>
      </c>
      <c r="D19" s="16">
        <f>'C５级比赛'!D19*30</f>
        <v>442.5</v>
      </c>
      <c r="E19" s="16">
        <f>'C５级比赛'!E19*30</f>
        <v>309.75</v>
      </c>
      <c r="F19" s="16">
        <f>'C５级比赛'!F19*30</f>
        <v>177</v>
      </c>
      <c r="G19" s="16">
        <f>'C５级比赛'!G19*30</f>
        <v>147.5</v>
      </c>
      <c r="H19" s="16">
        <f>'C５级比赛'!H19*30</f>
        <v>126.428571428571</v>
      </c>
      <c r="I19" s="16">
        <f>'C５级比赛'!I19*30</f>
        <v>110.625</v>
      </c>
      <c r="J19" s="16">
        <f>'C５级比赛'!J19*30</f>
        <v>98.3333333333333</v>
      </c>
      <c r="K19" s="16">
        <f>'C５级比赛'!K19*30</f>
        <v>88.5</v>
      </c>
      <c r="L19" s="16">
        <f>'C５级比赛'!L19*30</f>
        <v>80.4545454545455</v>
      </c>
      <c r="M19" s="16">
        <f>'C５级比赛'!M19*30</f>
        <v>73.75</v>
      </c>
      <c r="N19" s="16">
        <f>'C５级比赛'!N19*30</f>
        <v>68.0769230769231</v>
      </c>
      <c r="O19" s="16">
        <f>'C５级比赛'!O19*30</f>
        <v>63.2142857142857</v>
      </c>
      <c r="P19" s="16">
        <f>'C５级比赛'!P19*30</f>
        <v>59</v>
      </c>
      <c r="Q19" s="16">
        <f>'C５级比赛'!Q19*30</f>
        <v>55.3125</v>
      </c>
      <c r="R19" s="38">
        <f>'C５级比赛'!R19*30</f>
        <v>3460.25765900766</v>
      </c>
      <c r="S19" s="15">
        <f>'C５级比赛'!S19*30</f>
        <v>98.864504543076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</row>
    <row r="20" spans="1:172">
      <c r="A20" s="20" t="s">
        <v>58</v>
      </c>
      <c r="B20" s="18">
        <f>'C５级比赛'!B20*30</f>
        <v>1005</v>
      </c>
      <c r="C20" s="18">
        <f>'C５级比赛'!C20*30</f>
        <v>703.5</v>
      </c>
      <c r="D20" s="16">
        <f>'C５级比赛'!D20*30</f>
        <v>502.5</v>
      </c>
      <c r="E20" s="16">
        <f>'C５级比赛'!E20*30</f>
        <v>351.75</v>
      </c>
      <c r="F20" s="16">
        <f>'C５级比赛'!F20*30</f>
        <v>201</v>
      </c>
      <c r="G20" s="16">
        <f>'C５级比赛'!G20*30</f>
        <v>167.5</v>
      </c>
      <c r="H20" s="16">
        <f>'C５级比赛'!H20*30</f>
        <v>143.571428571429</v>
      </c>
      <c r="I20" s="16">
        <f>'C５级比赛'!I20*30</f>
        <v>125.625</v>
      </c>
      <c r="J20" s="16">
        <f>'C５级比赛'!J20*30</f>
        <v>111.666666666667</v>
      </c>
      <c r="K20" s="16">
        <f>'C５级比赛'!K20*30</f>
        <v>100.5</v>
      </c>
      <c r="L20" s="16">
        <f>'C５级比赛'!L20*30</f>
        <v>91.3636363636364</v>
      </c>
      <c r="M20" s="16">
        <f>'C５级比赛'!M20*30</f>
        <v>83.75</v>
      </c>
      <c r="N20" s="16">
        <f>'C５级比赛'!N20*30</f>
        <v>77.3076923076923</v>
      </c>
      <c r="O20" s="16">
        <f>'C５级比赛'!O20*30</f>
        <v>71.7857142857143</v>
      </c>
      <c r="P20" s="16">
        <f>'C５级比赛'!P20*30</f>
        <v>67</v>
      </c>
      <c r="Q20" s="16">
        <f>'C５级比赛'!Q20*30</f>
        <v>62.8125</v>
      </c>
      <c r="R20" s="16">
        <f>'C５级比赛'!R20*30</f>
        <v>55.8333333333333</v>
      </c>
      <c r="S20" s="38">
        <f>'C５级比赛'!S20*30</f>
        <v>4096.94513819514</v>
      </c>
      <c r="T20" s="15">
        <f>'C５级比赛'!T20*30</f>
        <v>99.9254911754912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</row>
    <row r="21" spans="1:172">
      <c r="A21" s="20" t="s">
        <v>59</v>
      </c>
      <c r="B21" s="18">
        <f>'C５级比赛'!B21*30</f>
        <v>1179</v>
      </c>
      <c r="C21" s="18">
        <f>'C５级比赛'!C21*30</f>
        <v>828</v>
      </c>
      <c r="D21" s="16">
        <f>'C５级比赛'!D21*30</f>
        <v>589.5</v>
      </c>
      <c r="E21" s="16">
        <f>'C５级比赛'!E21*30</f>
        <v>412.65</v>
      </c>
      <c r="F21" s="16">
        <f>'C５级比赛'!F21*30</f>
        <v>235.8</v>
      </c>
      <c r="G21" s="16">
        <f>'C５级比赛'!G21*30</f>
        <v>196.5</v>
      </c>
      <c r="H21" s="16">
        <f>'C５级比赛'!H21*30</f>
        <v>168.428571428571</v>
      </c>
      <c r="I21" s="16">
        <f>'C５级比赛'!I21*30</f>
        <v>147.375</v>
      </c>
      <c r="J21" s="16">
        <f>'C５级比赛'!J21*30</f>
        <v>131</v>
      </c>
      <c r="K21" s="16">
        <f>'C５级比赛'!K21*30</f>
        <v>117.9</v>
      </c>
      <c r="L21" s="16">
        <f>'C５级比赛'!L21*30</f>
        <v>107.181818181818</v>
      </c>
      <c r="M21" s="16">
        <f>'C５级比赛'!M21*30</f>
        <v>98.25</v>
      </c>
      <c r="N21" s="16">
        <f>'C５级比赛'!N21*30</f>
        <v>90.6923076923077</v>
      </c>
      <c r="O21" s="16">
        <f>'C５级比赛'!O21*30</f>
        <v>84.2142857142857</v>
      </c>
      <c r="P21" s="16">
        <f>'C５级比赛'!P21*30</f>
        <v>78.6</v>
      </c>
      <c r="Q21" s="16">
        <f>'C５级比赛'!Q21*30</f>
        <v>73.6875</v>
      </c>
      <c r="R21" s="16">
        <f>'C５级比赛'!R21*30</f>
        <v>65.5</v>
      </c>
      <c r="S21" s="16">
        <f>'C５级比赛'!S21*30</f>
        <v>58.95</v>
      </c>
      <c r="T21" s="38">
        <f>'C５级比赛'!T21*30</f>
        <v>5103.71698301698</v>
      </c>
      <c r="U21" s="15">
        <f>'C５级比赛'!U21*30</f>
        <v>100.072882019941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72">
      <c r="A22" s="17" t="s">
        <v>60</v>
      </c>
      <c r="B22" s="18">
        <f>'C５级比赛'!B22*30</f>
        <v>1356</v>
      </c>
      <c r="C22" s="18">
        <f>'C５级比赛'!C22*30</f>
        <v>949.2</v>
      </c>
      <c r="D22" s="16">
        <f>'C５级比赛'!D22*30</f>
        <v>678</v>
      </c>
      <c r="E22" s="16">
        <f>'C５级比赛'!E22*30</f>
        <v>474.6</v>
      </c>
      <c r="F22" s="16">
        <f>'C５级比赛'!F22*30</f>
        <v>271.2</v>
      </c>
      <c r="G22" s="16">
        <f>'C５级比赛'!G22*30</f>
        <v>226</v>
      </c>
      <c r="H22" s="16">
        <f>'C５级比赛'!H22*30</f>
        <v>193.714285714286</v>
      </c>
      <c r="I22" s="16">
        <f>'C５级比赛'!I22*30</f>
        <v>169.5</v>
      </c>
      <c r="J22" s="16">
        <f>'C５级比赛'!J22*30</f>
        <v>150.666666666667</v>
      </c>
      <c r="K22" s="16">
        <f>'C５级比赛'!K22*30</f>
        <v>135.6</v>
      </c>
      <c r="L22" s="16">
        <f>'C５级比赛'!L22*30</f>
        <v>123.272727272727</v>
      </c>
      <c r="M22" s="16">
        <f>'C５级比赛'!M22*30</f>
        <v>113</v>
      </c>
      <c r="N22" s="16">
        <f>'C５级比赛'!N22*30</f>
        <v>104.307692307692</v>
      </c>
      <c r="O22" s="16">
        <f>'C５级比赛'!O22*30</f>
        <v>96.8571428571429</v>
      </c>
      <c r="P22" s="16">
        <f>'C５级比赛'!P22*30</f>
        <v>90.4</v>
      </c>
      <c r="Q22" s="16">
        <f>'C５级比赛'!Q22*30</f>
        <v>84.75</v>
      </c>
      <c r="R22" s="16">
        <f>'C５级比赛'!R22*30</f>
        <v>75.3333333333333</v>
      </c>
      <c r="S22" s="16">
        <f>'C５级比赛'!S22*30</f>
        <v>67.8</v>
      </c>
      <c r="T22" s="16">
        <f>'C５级比赛'!T22*30</f>
        <v>52.1538461538462</v>
      </c>
      <c r="U22" s="38">
        <f>'C５级比赛'!U22*30</f>
        <v>6127.58774558775</v>
      </c>
      <c r="V22" s="15">
        <f>'C５级比赛'!V22*30</f>
        <v>100.452258124389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72">
      <c r="A23" s="17" t="s">
        <v>61</v>
      </c>
      <c r="B23" s="18">
        <f>'C５级比赛'!B23*30</f>
        <v>1680</v>
      </c>
      <c r="C23" s="18">
        <f>'C５级比赛'!C23*30</f>
        <v>1176</v>
      </c>
      <c r="D23" s="16">
        <f>'C５级比赛'!D23*30</f>
        <v>840</v>
      </c>
      <c r="E23" s="16">
        <f>'C５级比赛'!E23*30</f>
        <v>588</v>
      </c>
      <c r="F23" s="16">
        <f>'C５级比赛'!F23*30</f>
        <v>336</v>
      </c>
      <c r="G23" s="16">
        <f>'C５级比赛'!G23*30</f>
        <v>280</v>
      </c>
      <c r="H23" s="16">
        <f>'C５级比赛'!H23*30</f>
        <v>240</v>
      </c>
      <c r="I23" s="16">
        <f>'C５级比赛'!I23*30</f>
        <v>210</v>
      </c>
      <c r="J23" s="16">
        <f>'C５级比赛'!J23*30</f>
        <v>186.666666666667</v>
      </c>
      <c r="K23" s="16">
        <f>'C５级比赛'!K23*30</f>
        <v>168</v>
      </c>
      <c r="L23" s="16">
        <f>'C５级比赛'!L23*30</f>
        <v>152.727272727273</v>
      </c>
      <c r="M23" s="16">
        <f>'C５级比赛'!M23*30</f>
        <v>140</v>
      </c>
      <c r="N23" s="16">
        <f>'C５级比赛'!N23*30</f>
        <v>129.230769230769</v>
      </c>
      <c r="O23" s="16">
        <f>'C５级比赛'!O23*30</f>
        <v>120</v>
      </c>
      <c r="P23" s="16">
        <f>'C５级比赛'!P23*30</f>
        <v>112</v>
      </c>
      <c r="Q23" s="16">
        <f>'C５级比赛'!Q23*30</f>
        <v>105</v>
      </c>
      <c r="R23" s="16">
        <f>'C５级比赛'!R23*30</f>
        <v>93.3333333333333</v>
      </c>
      <c r="S23" s="16">
        <f>'C５级比赛'!S23*30</f>
        <v>84</v>
      </c>
      <c r="T23" s="16">
        <f>'C５级比赛'!T23*30</f>
        <v>64.6153846153846</v>
      </c>
      <c r="U23" s="16">
        <f>'C５级比赛'!U23*30</f>
        <v>56</v>
      </c>
      <c r="V23" s="38">
        <f>'C５级比赛'!V23*30</f>
        <v>8151.70163170163</v>
      </c>
      <c r="W23" s="15">
        <f>'C５级比赛'!W23*30</f>
        <v>100.638291749403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</row>
    <row r="24" s="2" customFormat="1" spans="1:172">
      <c r="A24" s="19" t="s">
        <v>62</v>
      </c>
      <c r="B24" s="13">
        <f>'C５级比赛'!B24*30</f>
        <v>2070</v>
      </c>
      <c r="C24" s="13">
        <f>'C５级比赛'!C24*30</f>
        <v>1449</v>
      </c>
      <c r="D24" s="13">
        <f>'C５级比赛'!D24*30</f>
        <v>1035</v>
      </c>
      <c r="E24" s="13">
        <f>'C５级比赛'!E24*30</f>
        <v>724.5</v>
      </c>
      <c r="F24" s="13">
        <f>'C５级比赛'!F24*30</f>
        <v>414</v>
      </c>
      <c r="G24" s="13">
        <f>'C５级比赛'!G24*30</f>
        <v>345</v>
      </c>
      <c r="H24" s="13">
        <f>'C５级比赛'!H24*30</f>
        <v>295.714285714286</v>
      </c>
      <c r="I24" s="13">
        <f>'C５级比赛'!I24*30</f>
        <v>258.75</v>
      </c>
      <c r="J24" s="13">
        <f>'C５级比赛'!J24*30</f>
        <v>230</v>
      </c>
      <c r="K24" s="13">
        <f>'C５级比赛'!K24*30</f>
        <v>207</v>
      </c>
      <c r="L24" s="13">
        <f>'C５级比赛'!L24*30</f>
        <v>188.181818181818</v>
      </c>
      <c r="M24" s="13">
        <f>'C５级比赛'!M24*30</f>
        <v>172.5</v>
      </c>
      <c r="N24" s="13">
        <f>'C５级比赛'!N24*30</f>
        <v>159.230769230769</v>
      </c>
      <c r="O24" s="13">
        <f>'C５级比赛'!O24*30</f>
        <v>147.857142857143</v>
      </c>
      <c r="P24" s="13">
        <f>'C５级比赛'!P24*30</f>
        <v>138</v>
      </c>
      <c r="Q24" s="13">
        <f>'C５级比赛'!Q24*30</f>
        <v>129.375</v>
      </c>
      <c r="R24" s="13">
        <f>'C５级比赛'!R24*30</f>
        <v>115</v>
      </c>
      <c r="S24" s="13">
        <f>'C５级比赛'!S24*30</f>
        <v>103.5</v>
      </c>
      <c r="T24" s="13">
        <f>'C５级比赛'!T24*30</f>
        <v>79.6153846153846</v>
      </c>
      <c r="U24" s="13">
        <f>'C５级比赛'!U24*30</f>
        <v>69</v>
      </c>
      <c r="V24" s="13">
        <f>'C５级比赛'!V24*30</f>
        <v>50.4878048780488</v>
      </c>
      <c r="W24" s="38">
        <f>'C５级比赛'!W24*30</f>
        <v>10548.9389878414</v>
      </c>
      <c r="X24" s="15">
        <f>'C５级比赛'!X24*30</f>
        <v>104.444940473678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4"/>
      <c r="AR24" s="24"/>
      <c r="AS24" s="24"/>
      <c r="AT24" s="24"/>
      <c r="AU24" s="24"/>
      <c r="AV24" s="24"/>
      <c r="AW24" s="24"/>
      <c r="AX24" s="24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</row>
    <row r="25" spans="1:172">
      <c r="A25" s="22" t="s">
        <v>63</v>
      </c>
      <c r="B25" s="16">
        <f>'C５级比赛'!B25*30</f>
        <v>2388</v>
      </c>
      <c r="C25" s="16">
        <f>'C５级比赛'!C25*30</f>
        <v>1671.6</v>
      </c>
      <c r="D25" s="16">
        <f>'C５级比赛'!D25*30</f>
        <v>1194</v>
      </c>
      <c r="E25" s="16">
        <f>'C５级比赛'!E25*30</f>
        <v>835.8</v>
      </c>
      <c r="F25" s="16">
        <f>'C５级比赛'!F25*30</f>
        <v>477.6</v>
      </c>
      <c r="G25" s="16">
        <f>'C５级比赛'!G25*30</f>
        <v>398</v>
      </c>
      <c r="H25" s="16">
        <f>'C５级比赛'!H25*30</f>
        <v>341.142857142857</v>
      </c>
      <c r="I25" s="16">
        <f>'C５级比赛'!I25*30</f>
        <v>298.5</v>
      </c>
      <c r="J25" s="16">
        <f>'C５级比赛'!J25*30</f>
        <v>265.333333333333</v>
      </c>
      <c r="K25" s="16">
        <f>'C５级比赛'!K25*30</f>
        <v>238.8</v>
      </c>
      <c r="L25" s="16">
        <f>'C５级比赛'!L25*30</f>
        <v>217.090909090909</v>
      </c>
      <c r="M25" s="16">
        <f>'C５级比赛'!M25*30</f>
        <v>199</v>
      </c>
      <c r="N25" s="16">
        <f>'C５级比赛'!N25*30</f>
        <v>183.692307692308</v>
      </c>
      <c r="O25" s="16">
        <f>'C５级比赛'!O25*30</f>
        <v>170.571428571429</v>
      </c>
      <c r="P25" s="16">
        <f>'C５级比赛'!P25*30</f>
        <v>159.2</v>
      </c>
      <c r="Q25" s="16">
        <f>'C５级比赛'!Q25*30</f>
        <v>149.25</v>
      </c>
      <c r="R25" s="16">
        <f>'C５级比赛'!R25*30</f>
        <v>132.666666666667</v>
      </c>
      <c r="S25" s="16">
        <f>'C５级比赛'!S25*30</f>
        <v>119.4</v>
      </c>
      <c r="T25" s="16">
        <f>'C５级比赛'!T25*30</f>
        <v>91.8461538461538</v>
      </c>
      <c r="U25" s="16">
        <f>'C５级比赛'!U25*30</f>
        <v>79.6</v>
      </c>
      <c r="V25" s="16">
        <f>'C５级比赛'!V25*30</f>
        <v>58.2439024390244</v>
      </c>
      <c r="W25" s="16">
        <f>'C５级比赛'!W25*30</f>
        <v>46.8235294117647</v>
      </c>
      <c r="X25" s="38">
        <f>'C５级比赛'!X25*30</f>
        <v>12637.7359235695</v>
      </c>
      <c r="Y25" s="15">
        <f>'C５级比赛'!Y25*30</f>
        <v>104.444098541897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</row>
    <row r="26" spans="1:172">
      <c r="A26" s="22" t="s">
        <v>64</v>
      </c>
      <c r="B26" s="16">
        <f>'C５级比赛'!B26*30</f>
        <v>2700</v>
      </c>
      <c r="C26" s="16">
        <f>'C５级比赛'!C26*30</f>
        <v>1890</v>
      </c>
      <c r="D26" s="16">
        <f>'C５级比赛'!D26*30</f>
        <v>1350</v>
      </c>
      <c r="E26" s="16">
        <f>'C５级比赛'!E26*30</f>
        <v>945</v>
      </c>
      <c r="F26" s="16">
        <f>'C５级比赛'!F26*30</f>
        <v>540</v>
      </c>
      <c r="G26" s="16">
        <f>'C５级比赛'!G26*30</f>
        <v>450</v>
      </c>
      <c r="H26" s="16">
        <f>'C５级比赛'!H26*30</f>
        <v>385.714285714286</v>
      </c>
      <c r="I26" s="16">
        <f>'C５级比赛'!I26*30</f>
        <v>337.5</v>
      </c>
      <c r="J26" s="16">
        <f>'C５级比赛'!J26*30</f>
        <v>300</v>
      </c>
      <c r="K26" s="16">
        <f>'C５级比赛'!K26*30</f>
        <v>270</v>
      </c>
      <c r="L26" s="16">
        <f>'C５级比赛'!L26*30</f>
        <v>245.454545454545</v>
      </c>
      <c r="M26" s="16">
        <f>'C５级比赛'!M26*30</f>
        <v>225</v>
      </c>
      <c r="N26" s="16">
        <f>'C５级比赛'!N26*30</f>
        <v>207.692307692308</v>
      </c>
      <c r="O26" s="16">
        <f>'C５级比赛'!O26*30</f>
        <v>192.857142857143</v>
      </c>
      <c r="P26" s="16">
        <f>'C５级比赛'!P26*30</f>
        <v>180</v>
      </c>
      <c r="Q26" s="16">
        <f>'C５级比赛'!Q26*30</f>
        <v>168.75</v>
      </c>
      <c r="R26" s="16">
        <f>'C５级比赛'!R26*30</f>
        <v>150</v>
      </c>
      <c r="S26" s="16">
        <f>'C５级比赛'!S26*30</f>
        <v>135</v>
      </c>
      <c r="T26" s="16">
        <f>'C５级比赛'!T26*30</f>
        <v>103.846153846154</v>
      </c>
      <c r="U26" s="16">
        <f>'C５级比赛'!U26*30</f>
        <v>90</v>
      </c>
      <c r="V26" s="16">
        <f>'C５级比赛'!V26*30</f>
        <v>65.8536585365854</v>
      </c>
      <c r="W26" s="16">
        <f>'C５级比赛'!W26*30</f>
        <v>52.9411764705882</v>
      </c>
      <c r="X26" s="16">
        <f>'C５级比赛'!X26*30</f>
        <v>44.2622950819672</v>
      </c>
      <c r="Y26" s="38">
        <f>'C５级比赛'!Y26*30</f>
        <v>14731.5203518405</v>
      </c>
      <c r="Z26" s="15">
        <f>'C５级比赛'!Z26*30</f>
        <v>104.478867743549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</row>
    <row r="27" spans="1:172">
      <c r="A27" s="22" t="s">
        <v>65</v>
      </c>
      <c r="B27" s="16">
        <f>'C５级比赛'!B27*30</f>
        <v>3006</v>
      </c>
      <c r="C27" s="16">
        <f>'C５级比赛'!C27*30</f>
        <v>2104.2</v>
      </c>
      <c r="D27" s="16">
        <f>'C５级比赛'!D27*30</f>
        <v>1503</v>
      </c>
      <c r="E27" s="16">
        <f>'C５级比赛'!E27*30</f>
        <v>1052.1</v>
      </c>
      <c r="F27" s="16">
        <f>'C５级比赛'!F27*30</f>
        <v>601.2</v>
      </c>
      <c r="G27" s="16">
        <f>'C５级比赛'!G27*30</f>
        <v>501</v>
      </c>
      <c r="H27" s="16">
        <f>'C５级比赛'!H27*30</f>
        <v>429.428571428571</v>
      </c>
      <c r="I27" s="16">
        <f>'C５级比赛'!I27*30</f>
        <v>375.75</v>
      </c>
      <c r="J27" s="16">
        <f>'C５级比赛'!J27*30</f>
        <v>334</v>
      </c>
      <c r="K27" s="16">
        <f>'C５级比赛'!K27*30</f>
        <v>300.6</v>
      </c>
      <c r="L27" s="16">
        <f>'C５级比赛'!L27*30</f>
        <v>273.272727272727</v>
      </c>
      <c r="M27" s="16">
        <f>'C５级比赛'!M27*30</f>
        <v>250.5</v>
      </c>
      <c r="N27" s="16">
        <f>'C５级比赛'!N27*30</f>
        <v>231.230769230769</v>
      </c>
      <c r="O27" s="16">
        <f>'C５级比赛'!O27*30</f>
        <v>214.714285714286</v>
      </c>
      <c r="P27" s="16">
        <f>'C５级比赛'!P27*30</f>
        <v>200.4</v>
      </c>
      <c r="Q27" s="16">
        <f>'C５级比赛'!Q27*30</f>
        <v>187.875</v>
      </c>
      <c r="R27" s="16">
        <f>'C５级比赛'!R27*30</f>
        <v>167</v>
      </c>
      <c r="S27" s="16">
        <f>'C５级比赛'!S27*30</f>
        <v>150.3</v>
      </c>
      <c r="T27" s="16">
        <f>'C５级比赛'!T27*30</f>
        <v>115.615384615385</v>
      </c>
      <c r="U27" s="16">
        <f>'C５级比赛'!U27*30</f>
        <v>100.2</v>
      </c>
      <c r="V27" s="16">
        <f>'C５级比赛'!V27*30</f>
        <v>73.3170731707317</v>
      </c>
      <c r="W27" s="16">
        <f>'C５级比赛'!W27*30</f>
        <v>58.9411764705882</v>
      </c>
      <c r="X27" s="16">
        <f>'C５级比赛'!X27*30</f>
        <v>49.2786885245902</v>
      </c>
      <c r="Y27" s="16">
        <f>'C５级比赛'!Y27*30</f>
        <v>42.3380281690141</v>
      </c>
      <c r="Z27" s="38">
        <f>'C５级比赛'!Z27*30</f>
        <v>16824.4729400725</v>
      </c>
      <c r="AA27" s="15">
        <f>'C５级比赛'!AA27*30</f>
        <v>104.499831925916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</row>
    <row r="28" spans="1:172">
      <c r="A28" s="22" t="s">
        <v>66</v>
      </c>
      <c r="B28" s="16">
        <f>'C５级比赛'!B28*30</f>
        <v>3306</v>
      </c>
      <c r="C28" s="16">
        <f>'C５级比赛'!C28*30</f>
        <v>2314.2</v>
      </c>
      <c r="D28" s="16">
        <f>'C５级比赛'!D28*30</f>
        <v>1653</v>
      </c>
      <c r="E28" s="16">
        <f>'C５级比赛'!E28*30</f>
        <v>1157.1</v>
      </c>
      <c r="F28" s="16">
        <f>'C５级比赛'!F28*30</f>
        <v>661.2</v>
      </c>
      <c r="G28" s="16">
        <f>'C５级比赛'!G28*30</f>
        <v>551</v>
      </c>
      <c r="H28" s="16">
        <f>'C５级比赛'!H28*30</f>
        <v>472.285714285714</v>
      </c>
      <c r="I28" s="16">
        <f>'C５级比赛'!I28*30</f>
        <v>413.25</v>
      </c>
      <c r="J28" s="16">
        <f>'C５级比赛'!J28*30</f>
        <v>367.333333333333</v>
      </c>
      <c r="K28" s="16">
        <f>'C５级比赛'!K28*30</f>
        <v>330.6</v>
      </c>
      <c r="L28" s="16">
        <f>'C５级比赛'!L28*30</f>
        <v>300.545454545455</v>
      </c>
      <c r="M28" s="16">
        <f>'C５级比赛'!M28*30</f>
        <v>275.5</v>
      </c>
      <c r="N28" s="16">
        <f>'C５级比赛'!N28*30</f>
        <v>254.307692307692</v>
      </c>
      <c r="O28" s="16">
        <f>'C５级比赛'!O28*30</f>
        <v>236.142857142857</v>
      </c>
      <c r="P28" s="16">
        <f>'C５级比赛'!P28*30</f>
        <v>220.4</v>
      </c>
      <c r="Q28" s="16">
        <f>'C５级比赛'!Q28*30</f>
        <v>206.625</v>
      </c>
      <c r="R28" s="16">
        <f>'C５级比赛'!R28*30</f>
        <v>183.666666666667</v>
      </c>
      <c r="S28" s="16">
        <f>'C５级比赛'!S28*30</f>
        <v>165.3</v>
      </c>
      <c r="T28" s="16">
        <f>'C５级比赛'!T28*30</f>
        <v>127.153846153846</v>
      </c>
      <c r="U28" s="16">
        <f>'C５级比赛'!U28*30</f>
        <v>110.2</v>
      </c>
      <c r="V28" s="16">
        <f>'C５级比赛'!V28*30</f>
        <v>80.6341463414634</v>
      </c>
      <c r="W28" s="16">
        <f>'C５级比赛'!W28*30</f>
        <v>64.8235294117647</v>
      </c>
      <c r="X28" s="16">
        <f>'C５级比赛'!X28*30</f>
        <v>54.1967213114754</v>
      </c>
      <c r="Y28" s="16">
        <f>'C５级比赛'!Y28*30</f>
        <v>46.5633802816901</v>
      </c>
      <c r="Z28" s="16">
        <f>'C５级比赛'!Z28*30</f>
        <v>40.8148148148148</v>
      </c>
      <c r="AA28" s="38">
        <f>'C５级比赛'!AA28*30</f>
        <v>18911.7102039964</v>
      </c>
      <c r="AB28" s="15">
        <f>'C５级比赛'!AB28*30</f>
        <v>104.484586762411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72">
      <c r="A29" s="22" t="s">
        <v>67</v>
      </c>
      <c r="B29" s="16">
        <f>'C５级比赛'!B29*30</f>
        <v>3603</v>
      </c>
      <c r="C29" s="16">
        <f>'C５级比赛'!C29*30</f>
        <v>2522.1</v>
      </c>
      <c r="D29" s="16">
        <f>'C５级比赛'!D29*30</f>
        <v>1801.5</v>
      </c>
      <c r="E29" s="16">
        <f>'C５级比赛'!E29*30</f>
        <v>1261.05</v>
      </c>
      <c r="F29" s="16">
        <f>'C５级比赛'!F29*30</f>
        <v>720.6</v>
      </c>
      <c r="G29" s="16">
        <f>'C５级比赛'!G29*30</f>
        <v>600.5</v>
      </c>
      <c r="H29" s="16">
        <f>'C５级比赛'!H29*30</f>
        <v>514.714285714286</v>
      </c>
      <c r="I29" s="16">
        <f>'C５级比赛'!I29*30</f>
        <v>450.375</v>
      </c>
      <c r="J29" s="16">
        <f>'C５级比赛'!J29*30</f>
        <v>400.333333333333</v>
      </c>
      <c r="K29" s="16">
        <f>'C５级比赛'!K29*30</f>
        <v>360.3</v>
      </c>
      <c r="L29" s="16">
        <f>'C５级比赛'!L29*30</f>
        <v>327.545454545455</v>
      </c>
      <c r="M29" s="16">
        <f>'C５级比赛'!M29*30</f>
        <v>300.25</v>
      </c>
      <c r="N29" s="16">
        <f>'C５级比赛'!N29*30</f>
        <v>277.153846153846</v>
      </c>
      <c r="O29" s="16">
        <f>'C５级比赛'!O29*30</f>
        <v>257.357142857143</v>
      </c>
      <c r="P29" s="16">
        <f>'C５级比赛'!P29*30</f>
        <v>240.2</v>
      </c>
      <c r="Q29" s="16">
        <f>'C５级比赛'!Q29*30</f>
        <v>225.1875</v>
      </c>
      <c r="R29" s="16">
        <f>'C５级比赛'!R29*30</f>
        <v>200.166666666667</v>
      </c>
      <c r="S29" s="16">
        <f>'C５级比赛'!S29*30</f>
        <v>180.15</v>
      </c>
      <c r="T29" s="16">
        <f>'C５级比赛'!T29*30</f>
        <v>138.576923076923</v>
      </c>
      <c r="U29" s="16">
        <f>'C５级比赛'!U29*30</f>
        <v>120.1</v>
      </c>
      <c r="V29" s="16">
        <f>'C５级比赛'!V29*30</f>
        <v>87.8780487804878</v>
      </c>
      <c r="W29" s="16">
        <f>'C５级比赛'!W29*30</f>
        <v>70.6470588235294</v>
      </c>
      <c r="X29" s="16">
        <f>'C５级比赛'!X29*30</f>
        <v>59.0655737704918</v>
      </c>
      <c r="Y29" s="16">
        <f>'C５级比赛'!Y29*30</f>
        <v>50.7464788732394</v>
      </c>
      <c r="Z29" s="16">
        <f>'C５级比赛'!Z29*30</f>
        <v>44.4814814814815</v>
      </c>
      <c r="AA29" s="16">
        <f>'C５级比赛'!AA29*30</f>
        <v>39.5934065934066</v>
      </c>
      <c r="AB29" s="38">
        <f>'C５级比赛'!AB29*30</f>
        <v>21006.609161215</v>
      </c>
      <c r="AC29" s="15">
        <f>'C５级比赛'!AC29*30</f>
        <v>104.510493339378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72">
      <c r="A30" s="22" t="s">
        <v>68</v>
      </c>
      <c r="B30" s="16">
        <f>'C５级比赛'!B30*30</f>
        <v>4176</v>
      </c>
      <c r="C30" s="16">
        <f>'C５级比赛'!C30*30</f>
        <v>2923.2</v>
      </c>
      <c r="D30" s="16">
        <f>'C５级比赛'!D30*30</f>
        <v>2088</v>
      </c>
      <c r="E30" s="16">
        <f>'C５级比赛'!E30*30</f>
        <v>1461.6</v>
      </c>
      <c r="F30" s="16">
        <f>'C５级比赛'!F30*30</f>
        <v>835.2</v>
      </c>
      <c r="G30" s="16">
        <f>'C５级比赛'!G30*30</f>
        <v>696</v>
      </c>
      <c r="H30" s="16">
        <f>'C５级比赛'!H30*30</f>
        <v>596.571428571428</v>
      </c>
      <c r="I30" s="16">
        <f>'C５级比赛'!I30*30</f>
        <v>522</v>
      </c>
      <c r="J30" s="16">
        <f>'C５级比赛'!J30*30</f>
        <v>464</v>
      </c>
      <c r="K30" s="16">
        <f>'C５级比赛'!K30*30</f>
        <v>417.6</v>
      </c>
      <c r="L30" s="16">
        <f>'C５级比赛'!L30*30</f>
        <v>379.636363636364</v>
      </c>
      <c r="M30" s="16">
        <f>'C５级比赛'!M30*30</f>
        <v>348</v>
      </c>
      <c r="N30" s="16">
        <f>'C５级比赛'!N30*30</f>
        <v>321.230769230769</v>
      </c>
      <c r="O30" s="16">
        <f>'C５级比赛'!O30*30</f>
        <v>298.285714285714</v>
      </c>
      <c r="P30" s="16">
        <f>'C５级比赛'!P30*30</f>
        <v>278.4</v>
      </c>
      <c r="Q30" s="16">
        <f>'C５级比赛'!Q30*30</f>
        <v>261</v>
      </c>
      <c r="R30" s="16">
        <f>'C５级比赛'!R30*30</f>
        <v>232</v>
      </c>
      <c r="S30" s="16">
        <f>'C５级比赛'!S30*30</f>
        <v>208.8</v>
      </c>
      <c r="T30" s="16">
        <f>'C５级比赛'!T30*30</f>
        <v>160.615384615385</v>
      </c>
      <c r="U30" s="16">
        <f>'C５级比赛'!U30*30</f>
        <v>139.2</v>
      </c>
      <c r="V30" s="16">
        <f>'C５级比赛'!V30*30</f>
        <v>101.853658536585</v>
      </c>
      <c r="W30" s="16">
        <f>'C５级比赛'!W30*30</f>
        <v>81.8823529411765</v>
      </c>
      <c r="X30" s="16">
        <f>'C５级比赛'!X30*30</f>
        <v>68.4590163934426</v>
      </c>
      <c r="Y30" s="16">
        <f>'C５级比赛'!Y30*30</f>
        <v>58.8169014084507</v>
      </c>
      <c r="Z30" s="16">
        <f>'C５级比赛'!Z30*30</f>
        <v>51.5555555555556</v>
      </c>
      <c r="AA30" s="16">
        <f>'C５级比赛'!AA30*30</f>
        <v>45.8901098901099</v>
      </c>
      <c r="AB30" s="16">
        <f>'C５级比赛'!AB30*30</f>
        <v>41.76</v>
      </c>
      <c r="AC30" s="38">
        <f>'C５级比赛'!AC30*30</f>
        <v>25182.5771460544</v>
      </c>
      <c r="AD30" s="15">
        <f>'C５级比赛'!AD30*30</f>
        <v>104.492021352923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</row>
    <row r="31" spans="1:172">
      <c r="A31" s="22" t="s">
        <v>69</v>
      </c>
      <c r="B31" s="16">
        <f>'C５级比赛'!B31*30</f>
        <v>4740</v>
      </c>
      <c r="C31" s="16">
        <f>'C５级比赛'!C31*30</f>
        <v>3318</v>
      </c>
      <c r="D31" s="16">
        <f>'C５级比赛'!D31*30</f>
        <v>2370</v>
      </c>
      <c r="E31" s="16">
        <f>'C５级比赛'!E31*30</f>
        <v>1659</v>
      </c>
      <c r="F31" s="16">
        <f>'C５级比赛'!F31*30</f>
        <v>948</v>
      </c>
      <c r="G31" s="16">
        <f>'C５级比赛'!G31*30</f>
        <v>790</v>
      </c>
      <c r="H31" s="16">
        <f>'C５级比赛'!H31*30</f>
        <v>677.142857142857</v>
      </c>
      <c r="I31" s="16">
        <f>'C５级比赛'!I31*30</f>
        <v>592.5</v>
      </c>
      <c r="J31" s="16">
        <f>'C５级比赛'!J31*30</f>
        <v>526.666666666667</v>
      </c>
      <c r="K31" s="16">
        <f>'C５级比赛'!K31*30</f>
        <v>474</v>
      </c>
      <c r="L31" s="16">
        <f>'C５级比赛'!L31*30</f>
        <v>430.909090909091</v>
      </c>
      <c r="M31" s="16">
        <f>'C５级比赛'!M31*30</f>
        <v>395</v>
      </c>
      <c r="N31" s="16">
        <f>'C５级比赛'!N31*30</f>
        <v>364.615384615385</v>
      </c>
      <c r="O31" s="16">
        <f>'C５级比赛'!O31*30</f>
        <v>338.571428571429</v>
      </c>
      <c r="P31" s="16">
        <f>'C５级比赛'!P31*30</f>
        <v>316</v>
      </c>
      <c r="Q31" s="16">
        <f>'C５级比赛'!Q31*30</f>
        <v>296.25</v>
      </c>
      <c r="R31" s="16">
        <f>'C５级比赛'!R31*30</f>
        <v>263.333333333333</v>
      </c>
      <c r="S31" s="16">
        <f>'C５级比赛'!S31*30</f>
        <v>237</v>
      </c>
      <c r="T31" s="16">
        <f>'C５级比赛'!T31*30</f>
        <v>182.307692307692</v>
      </c>
      <c r="U31" s="16">
        <f>'C５级比赛'!U31*30</f>
        <v>158</v>
      </c>
      <c r="V31" s="16">
        <f>'C５级比赛'!V31*30</f>
        <v>115.609756097561</v>
      </c>
      <c r="W31" s="16">
        <f>'C５级比赛'!W31*30</f>
        <v>92.9411764705882</v>
      </c>
      <c r="X31" s="16">
        <f>'C５级比赛'!X31*30</f>
        <v>77.7049180327869</v>
      </c>
      <c r="Y31" s="16">
        <f>'C５级比赛'!Y31*30</f>
        <v>66.7605633802817</v>
      </c>
      <c r="Z31" s="16">
        <f>'C５级比赛'!Z31*30</f>
        <v>58.5185185185185</v>
      </c>
      <c r="AA31" s="16">
        <f>'C５级比赛'!AA31*30</f>
        <v>52.0879120879121</v>
      </c>
      <c r="AB31" s="16">
        <f>'C５级比赛'!AB31*30</f>
        <v>47.4</v>
      </c>
      <c r="AC31" s="16">
        <f>'C５级比赛'!AC31*30</f>
        <v>39.1735537190083</v>
      </c>
      <c r="AD31" s="38">
        <f>'C５级比赛'!AD31*30</f>
        <v>29367.1434097005</v>
      </c>
      <c r="AE31" s="15">
        <f>'C５级比赛'!AE31*30</f>
        <v>104.509407151959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72">
      <c r="A32" s="22" t="s">
        <v>70</v>
      </c>
      <c r="B32" s="16">
        <f>'C５级比赛'!B32*30</f>
        <v>5295</v>
      </c>
      <c r="C32" s="16">
        <f>'C５级比赛'!C32*30</f>
        <v>3706.5</v>
      </c>
      <c r="D32" s="16">
        <f>'C５级比赛'!D32*30</f>
        <v>2647.5</v>
      </c>
      <c r="E32" s="16">
        <f>'C５级比赛'!E32*30</f>
        <v>1853.25</v>
      </c>
      <c r="F32" s="16">
        <f>'C５级比赛'!F32*30</f>
        <v>1059</v>
      </c>
      <c r="G32" s="16">
        <f>'C５级比赛'!G32*30</f>
        <v>882.5</v>
      </c>
      <c r="H32" s="16">
        <f>'C５级比赛'!H32*30</f>
        <v>756.428571428571</v>
      </c>
      <c r="I32" s="16">
        <f>'C５级比赛'!I32*30</f>
        <v>661.875</v>
      </c>
      <c r="J32" s="16">
        <f>'C５级比赛'!J32*30</f>
        <v>588.333333333333</v>
      </c>
      <c r="K32" s="16">
        <f>'C５级比赛'!K32*30</f>
        <v>529.5</v>
      </c>
      <c r="L32" s="16">
        <f>'C５级比赛'!L32*30</f>
        <v>481.363636363636</v>
      </c>
      <c r="M32" s="16">
        <f>'C５级比赛'!M32*30</f>
        <v>441.25</v>
      </c>
      <c r="N32" s="16">
        <f>'C５级比赛'!N32*30</f>
        <v>407.307692307692</v>
      </c>
      <c r="O32" s="16">
        <f>'C５级比赛'!O32*30</f>
        <v>378.214285714286</v>
      </c>
      <c r="P32" s="16">
        <f>'C５级比赛'!P32*30</f>
        <v>353</v>
      </c>
      <c r="Q32" s="16">
        <f>'C５级比赛'!Q32*30</f>
        <v>330.9375</v>
      </c>
      <c r="R32" s="16">
        <f>'C５级比赛'!R32*30</f>
        <v>294.166666666667</v>
      </c>
      <c r="S32" s="16">
        <f>'C５级比赛'!S32*30</f>
        <v>264.75</v>
      </c>
      <c r="T32" s="16">
        <f>'C５级比赛'!T32*30</f>
        <v>203.653846153846</v>
      </c>
      <c r="U32" s="16">
        <f>'C５级比赛'!U32*30</f>
        <v>176.5</v>
      </c>
      <c r="V32" s="16">
        <f>'C５级比赛'!V32*30</f>
        <v>129.146341463415</v>
      </c>
      <c r="W32" s="16">
        <f>'C５级比赛'!W32*30</f>
        <v>103.823529411765</v>
      </c>
      <c r="X32" s="16">
        <f>'C５级比赛'!X32*30</f>
        <v>86.8032786885246</v>
      </c>
      <c r="Y32" s="16">
        <f>'C５级比赛'!Y32*30</f>
        <v>74.5774647887324</v>
      </c>
      <c r="Z32" s="16">
        <f>'C５级比赛'!Z32*30</f>
        <v>65.3703703703704</v>
      </c>
      <c r="AA32" s="16">
        <f>'C５级比赛'!AA32*30</f>
        <v>58.1868131868132</v>
      </c>
      <c r="AB32" s="16">
        <f>'C５级比赛'!AB32*30</f>
        <v>52.95</v>
      </c>
      <c r="AC32" s="16">
        <f>'C５级比赛'!AC32*30</f>
        <v>43.7603305785124</v>
      </c>
      <c r="AD32" s="16">
        <f>'C５级比赛'!AD32*30</f>
        <v>37.5531914893617</v>
      </c>
      <c r="AE32" s="38">
        <f>'C５级比赛'!AE32*30</f>
        <v>33556.7651703704</v>
      </c>
      <c r="AF32" s="27">
        <f>'C５级比赛'!AF32*30</f>
        <v>104.53820925349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</row>
    <row r="33" spans="1:172">
      <c r="A33" s="22" t="s">
        <v>71</v>
      </c>
      <c r="B33" s="16">
        <f>'C５级比赛'!B33*30</f>
        <v>5841</v>
      </c>
      <c r="C33" s="16">
        <f>'C５级比赛'!C33*30</f>
        <v>4088.7</v>
      </c>
      <c r="D33" s="16">
        <f>'C５级比赛'!D33*30</f>
        <v>2920.5</v>
      </c>
      <c r="E33" s="16">
        <f>'C５级比赛'!E33*30</f>
        <v>2044.35</v>
      </c>
      <c r="F33" s="16">
        <f>'C５级比赛'!F33*30</f>
        <v>1168.2</v>
      </c>
      <c r="G33" s="16">
        <f>'C５级比赛'!G33*30</f>
        <v>973.5</v>
      </c>
      <c r="H33" s="16">
        <f>'C５级比赛'!H33*30</f>
        <v>834.428571428571</v>
      </c>
      <c r="I33" s="16">
        <f>'C５级比赛'!I33*30</f>
        <v>730.125</v>
      </c>
      <c r="J33" s="16">
        <f>'C５级比赛'!J33*30</f>
        <v>649</v>
      </c>
      <c r="K33" s="16">
        <f>'C５级比赛'!K33*30</f>
        <v>584.1</v>
      </c>
      <c r="L33" s="16">
        <f>'C５级比赛'!L33*30</f>
        <v>531</v>
      </c>
      <c r="M33" s="16">
        <f>'C５级比赛'!M33*30</f>
        <v>486.75</v>
      </c>
      <c r="N33" s="16">
        <f>'C５级比赛'!N33*30</f>
        <v>449.307692307692</v>
      </c>
      <c r="O33" s="16">
        <f>'C５级比赛'!O33*30</f>
        <v>417.214285714286</v>
      </c>
      <c r="P33" s="16">
        <f>'C５级比赛'!P33*30</f>
        <v>389.4</v>
      </c>
      <c r="Q33" s="16">
        <f>'C５级比赛'!Q33*30</f>
        <v>365.0625</v>
      </c>
      <c r="R33" s="16">
        <f>'C５级比赛'!R33*30</f>
        <v>324.5</v>
      </c>
      <c r="S33" s="16">
        <f>'C５级比赛'!S33*30</f>
        <v>292.05</v>
      </c>
      <c r="T33" s="16">
        <f>'C５级比赛'!T33*30</f>
        <v>224.653846153846</v>
      </c>
      <c r="U33" s="16">
        <f>'C５级比赛'!U33*30</f>
        <v>194.7</v>
      </c>
      <c r="V33" s="16">
        <f>'C５级比赛'!V33*30</f>
        <v>142.463414634146</v>
      </c>
      <c r="W33" s="16">
        <f>'C５级比赛'!W33*30</f>
        <v>114.529411764706</v>
      </c>
      <c r="X33" s="16">
        <f>'C５级比赛'!X33*30</f>
        <v>95.7540983606557</v>
      </c>
      <c r="Y33" s="16">
        <f>'C５级比赛'!Y33*30</f>
        <v>82.2676056338028</v>
      </c>
      <c r="Z33" s="16">
        <f>'C５级比赛'!Z33*30</f>
        <v>72.1111111111111</v>
      </c>
      <c r="AA33" s="16">
        <f>'C５级比赛'!AA33*30</f>
        <v>64.1868131868132</v>
      </c>
      <c r="AB33" s="16">
        <f>'C５级比赛'!AB33*30</f>
        <v>58.41</v>
      </c>
      <c r="AC33" s="16">
        <f>'C５级比赛'!AC33*30</f>
        <v>48.2727272727273</v>
      </c>
      <c r="AD33" s="16">
        <f>'C５级比赛'!AD33*30</f>
        <v>41.4255319148936</v>
      </c>
      <c r="AE33" s="16">
        <f>'C５级比赛'!AE33*30</f>
        <v>36.2795031055901</v>
      </c>
      <c r="AF33" s="39">
        <f>'C５级比赛'!AF33*30</f>
        <v>37742.5995729964</v>
      </c>
      <c r="AG33" s="27">
        <f>'C５级比赛'!AG33*30</f>
        <v>104.55013732132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</row>
    <row r="34" spans="1:172">
      <c r="A34" s="22" t="s">
        <v>72</v>
      </c>
      <c r="B34" s="16">
        <f>'C５级比赛'!B34*30</f>
        <v>6381</v>
      </c>
      <c r="C34" s="16">
        <f>'C５级比赛'!C34*30</f>
        <v>4466.7</v>
      </c>
      <c r="D34" s="16">
        <f>'C５级比赛'!D34*30</f>
        <v>3190.5</v>
      </c>
      <c r="E34" s="16">
        <f>'C５级比赛'!E34*30</f>
        <v>2233.35</v>
      </c>
      <c r="F34" s="16">
        <f>'C５级比赛'!F34*30</f>
        <v>1276.2</v>
      </c>
      <c r="G34" s="16">
        <f>'C５级比赛'!G34*30</f>
        <v>1063.5</v>
      </c>
      <c r="H34" s="16">
        <f>'C５级比赛'!H34*30</f>
        <v>911.571428571428</v>
      </c>
      <c r="I34" s="16">
        <f>'C５级比赛'!I34*30</f>
        <v>797.625</v>
      </c>
      <c r="J34" s="16">
        <f>'C５级比赛'!J34*30</f>
        <v>709</v>
      </c>
      <c r="K34" s="16">
        <f>'C５级比赛'!K34*30</f>
        <v>638.1</v>
      </c>
      <c r="L34" s="16">
        <f>'C５级比赛'!L34*30</f>
        <v>580.090909090909</v>
      </c>
      <c r="M34" s="16">
        <f>'C５级比赛'!M34*30</f>
        <v>531.75</v>
      </c>
      <c r="N34" s="16">
        <f>'C５级比赛'!N34*30</f>
        <v>490.846153846154</v>
      </c>
      <c r="O34" s="16">
        <f>'C５级比赛'!O34*30</f>
        <v>455.785714285714</v>
      </c>
      <c r="P34" s="16">
        <f>'C５级比赛'!P34*30</f>
        <v>425.4</v>
      </c>
      <c r="Q34" s="16">
        <f>'C５级比赛'!Q34*30</f>
        <v>398.8125</v>
      </c>
      <c r="R34" s="16">
        <f>'C５级比赛'!R34*30</f>
        <v>354.5</v>
      </c>
      <c r="S34" s="16">
        <f>'C５级比赛'!S34*30</f>
        <v>319.05</v>
      </c>
      <c r="T34" s="16">
        <f>'C５级比赛'!T34*30</f>
        <v>245.423076923077</v>
      </c>
      <c r="U34" s="16">
        <f>'C５级比赛'!U34*30</f>
        <v>212.7</v>
      </c>
      <c r="V34" s="16">
        <f>'C５级比赛'!V34*30</f>
        <v>155.634146341463</v>
      </c>
      <c r="W34" s="16">
        <f>'C５级比赛'!W34*30</f>
        <v>125.117647058824</v>
      </c>
      <c r="X34" s="16">
        <f>'C５级比赛'!X34*30</f>
        <v>104.606557377049</v>
      </c>
      <c r="Y34" s="16">
        <f>'C５级比赛'!Y34*30</f>
        <v>89.8732394366197</v>
      </c>
      <c r="Z34" s="16">
        <f>'C５级比赛'!Z34*30</f>
        <v>78.7777777777778</v>
      </c>
      <c r="AA34" s="16">
        <f>'C５级比赛'!AA34*30</f>
        <v>70.1208791208791</v>
      </c>
      <c r="AB34" s="16">
        <f>'C５级比赛'!AB34*30</f>
        <v>63.81</v>
      </c>
      <c r="AC34" s="16">
        <f>'C５级比赛'!AC34*30</f>
        <v>52.7355371900826</v>
      </c>
      <c r="AD34" s="16">
        <f>'C５级比赛'!AD34*30</f>
        <v>45.2553191489362</v>
      </c>
      <c r="AE34" s="16">
        <f>'C５级比赛'!AE34*30</f>
        <v>39.6335403726708</v>
      </c>
      <c r="AF34" s="25">
        <f>'C５级比赛'!AF34*30</f>
        <v>35.2541436464088</v>
      </c>
      <c r="AG34" s="39">
        <f>'C５级比赛'!AG34*30</f>
        <v>41936.9828686977</v>
      </c>
      <c r="AH34" s="27">
        <f>'C５级比赛'!AH34*30</f>
        <v>104.581004660094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</row>
    <row r="35" spans="1:172">
      <c r="A35" s="22" t="s">
        <v>73</v>
      </c>
      <c r="B35" s="16">
        <f>'C５级比赛'!B35*30</f>
        <v>8889</v>
      </c>
      <c r="C35" s="16">
        <f>'C５级比赛'!C35*30</f>
        <v>6222.3</v>
      </c>
      <c r="D35" s="16">
        <f>'C５级比赛'!D35*30</f>
        <v>4444.5</v>
      </c>
      <c r="E35" s="16">
        <f>'C５级比赛'!E35*30</f>
        <v>3111.15</v>
      </c>
      <c r="F35" s="16">
        <f>'C５级比赛'!F35*30</f>
        <v>1777.8</v>
      </c>
      <c r="G35" s="16">
        <f>'C５级比赛'!G35*30</f>
        <v>1481.5</v>
      </c>
      <c r="H35" s="16">
        <f>'C５级比赛'!H35*30</f>
        <v>1269.85714285714</v>
      </c>
      <c r="I35" s="16">
        <f>'C５级比赛'!I35*30</f>
        <v>1111.125</v>
      </c>
      <c r="J35" s="16">
        <f>'C５级比赛'!J35*30</f>
        <v>987.666666666667</v>
      </c>
      <c r="K35" s="16">
        <f>'C５级比赛'!K35*30</f>
        <v>888.9</v>
      </c>
      <c r="L35" s="16">
        <f>'C５级比赛'!L35*30</f>
        <v>808.090909090909</v>
      </c>
      <c r="M35" s="16">
        <f>'C５级比赛'!M35*30</f>
        <v>740.75</v>
      </c>
      <c r="N35" s="16">
        <f>'C５级比赛'!N35*30</f>
        <v>683.769230769231</v>
      </c>
      <c r="O35" s="16">
        <f>'C５级比赛'!O35*30</f>
        <v>634.928571428571</v>
      </c>
      <c r="P35" s="16">
        <f>'C５级比赛'!P35*30</f>
        <v>592.6</v>
      </c>
      <c r="Q35" s="16">
        <f>'C５级比赛'!Q35*30</f>
        <v>555.5625</v>
      </c>
      <c r="R35" s="16">
        <f>'C５级比赛'!R35*30</f>
        <v>493.833333333333</v>
      </c>
      <c r="S35" s="16">
        <f>'C５级比赛'!S35*30</f>
        <v>444.45</v>
      </c>
      <c r="T35" s="16">
        <f>'C５级比赛'!T35*30</f>
        <v>341.884615384615</v>
      </c>
      <c r="U35" s="16">
        <f>'C５级比赛'!U35*30</f>
        <v>296.3</v>
      </c>
      <c r="V35" s="16">
        <f>'C５级比赛'!V35*30</f>
        <v>216.80487804878</v>
      </c>
      <c r="W35" s="16">
        <f>'C５级比赛'!W35*30</f>
        <v>174.294117647059</v>
      </c>
      <c r="X35" s="16">
        <f>'C５级比赛'!X35*30</f>
        <v>145.72131147541</v>
      </c>
      <c r="Y35" s="16">
        <f>'C５级比赛'!Y35*30</f>
        <v>125.197183098592</v>
      </c>
      <c r="Z35" s="16">
        <f>'C５级比赛'!Z35*30</f>
        <v>109.740740740741</v>
      </c>
      <c r="AA35" s="16">
        <f>'C５级比赛'!AA35*30</f>
        <v>97.6813186813187</v>
      </c>
      <c r="AB35" s="16">
        <f>'C５级比赛'!AB35*30</f>
        <v>88.89</v>
      </c>
      <c r="AC35" s="16">
        <f>'C５级比赛'!AC35*30</f>
        <v>73.4628099173554</v>
      </c>
      <c r="AD35" s="16">
        <f>'C５级比赛'!AD35*30</f>
        <v>63.0425531914894</v>
      </c>
      <c r="AE35" s="16">
        <f>'C５级比赛'!AE35*30</f>
        <v>55.2111801242236</v>
      </c>
      <c r="AF35" s="25">
        <f>'C５级比赛'!AF35*30</f>
        <v>49.1104972375691</v>
      </c>
      <c r="AG35" s="25">
        <f>'C５级比赛'!AG35*30</f>
        <v>44.2238805970149</v>
      </c>
      <c r="AH35" s="39">
        <f>'C５级比赛'!AH35*30</f>
        <v>62842.3599637688</v>
      </c>
      <c r="AI35" s="27">
        <f>'C５级比赛'!AI35*30</f>
        <v>104.562994948035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</row>
    <row r="36" spans="1:172">
      <c r="A36" s="22" t="s">
        <v>74</v>
      </c>
      <c r="B36" s="16">
        <f>'C５级比赛'!B36*30</f>
        <v>11316</v>
      </c>
      <c r="C36" s="16">
        <f>'C５级比赛'!C36*30</f>
        <v>7921.2</v>
      </c>
      <c r="D36" s="16">
        <f>'C５级比赛'!D36*30</f>
        <v>5658</v>
      </c>
      <c r="E36" s="16">
        <f>'C５级比赛'!E36*30</f>
        <v>3960.6</v>
      </c>
      <c r="F36" s="16">
        <f>'C５级比赛'!F36*30</f>
        <v>2263.2</v>
      </c>
      <c r="G36" s="16">
        <f>'C５级比赛'!G36*30</f>
        <v>1886</v>
      </c>
      <c r="H36" s="16">
        <f>'C５级比赛'!H36*30</f>
        <v>1616.57142857143</v>
      </c>
      <c r="I36" s="16">
        <f>'C５级比赛'!I36*30</f>
        <v>1414.5</v>
      </c>
      <c r="J36" s="16">
        <f>'C５级比赛'!J36*30</f>
        <v>1257.33333333333</v>
      </c>
      <c r="K36" s="16">
        <f>'C５级比赛'!K36*30</f>
        <v>1131.6</v>
      </c>
      <c r="L36" s="16">
        <f>'C５级比赛'!L36*30</f>
        <v>1028.72727272727</v>
      </c>
      <c r="M36" s="16">
        <f>'C５级比赛'!M36*30</f>
        <v>943</v>
      </c>
      <c r="N36" s="16">
        <f>'C５级比赛'!N36*30</f>
        <v>870.461538461538</v>
      </c>
      <c r="O36" s="16">
        <f>'C５级比赛'!O36*30</f>
        <v>808.285714285714</v>
      </c>
      <c r="P36" s="16">
        <f>'C５级比赛'!P36*30</f>
        <v>754.4</v>
      </c>
      <c r="Q36" s="16">
        <f>'C５级比赛'!Q36*30</f>
        <v>707.25</v>
      </c>
      <c r="R36" s="16">
        <f>'C５级比赛'!R36*30</f>
        <v>628.666666666667</v>
      </c>
      <c r="S36" s="16">
        <f>'C５级比赛'!S36*30</f>
        <v>565.8</v>
      </c>
      <c r="T36" s="16">
        <f>'C５级比赛'!T36*30</f>
        <v>435.230769230769</v>
      </c>
      <c r="U36" s="16">
        <f>'C５级比赛'!U36*30</f>
        <v>377.2</v>
      </c>
      <c r="V36" s="16">
        <f>'C５级比赛'!V36*30</f>
        <v>276</v>
      </c>
      <c r="W36" s="16">
        <f>'C５级比赛'!W36*30</f>
        <v>221.882352941176</v>
      </c>
      <c r="X36" s="16">
        <f>'C５级比赛'!X36*30</f>
        <v>185.508196721311</v>
      </c>
      <c r="Y36" s="16">
        <f>'C５级比赛'!Y36*30</f>
        <v>159.380281690141</v>
      </c>
      <c r="Z36" s="16">
        <f>'C５级比赛'!Z36*30</f>
        <v>139.703703703704</v>
      </c>
      <c r="AA36" s="16">
        <f>'C５级比赛'!AA36*30</f>
        <v>124.351648351648</v>
      </c>
      <c r="AB36" s="16">
        <f>'C５级比赛'!AB36*30</f>
        <v>113.16</v>
      </c>
      <c r="AC36" s="16">
        <f>'C５级比赛'!AC36*30</f>
        <v>93.5206611570248</v>
      </c>
      <c r="AD36" s="16">
        <f>'C５级比赛'!AD36*30</f>
        <v>80.2553191489362</v>
      </c>
      <c r="AE36" s="16">
        <f>'C５级比赛'!AE36*30</f>
        <v>70.2857142857143</v>
      </c>
      <c r="AF36" s="25">
        <f>'C５级比赛'!AF36*30</f>
        <v>62.5193370165746</v>
      </c>
      <c r="AG36" s="25">
        <f>'C５级比赛'!AG36*30</f>
        <v>56.2985074626866</v>
      </c>
      <c r="AH36" s="25">
        <f>'C５级比赛'!AH36*30</f>
        <v>37.5946843853821</v>
      </c>
      <c r="AI36" s="39">
        <f>'C５级比赛'!AI36*30</f>
        <v>83759.9347845848</v>
      </c>
      <c r="AJ36" s="27">
        <f>'C５级比赛'!AJ36*30</f>
        <v>104.569206972016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</row>
    <row r="37" s="2" customFormat="1" spans="1:172">
      <c r="A37" s="19" t="s">
        <v>75</v>
      </c>
      <c r="B37" s="13">
        <f>'C５级比赛'!B37*30</f>
        <v>13680</v>
      </c>
      <c r="C37" s="13">
        <f>'C５级比赛'!C37*30</f>
        <v>9576</v>
      </c>
      <c r="D37" s="13">
        <f>'C５级比赛'!D37*30</f>
        <v>6840</v>
      </c>
      <c r="E37" s="13">
        <f>'C５级比赛'!E37*30</f>
        <v>4788</v>
      </c>
      <c r="F37" s="13">
        <f>'C５级比赛'!F37*30</f>
        <v>2736</v>
      </c>
      <c r="G37" s="13">
        <f>'C５级比赛'!G37*30</f>
        <v>2280</v>
      </c>
      <c r="H37" s="13">
        <f>'C５级比赛'!H37*30</f>
        <v>1954.28571428571</v>
      </c>
      <c r="I37" s="13">
        <f>'C５级比赛'!I37*30</f>
        <v>1710</v>
      </c>
      <c r="J37" s="13">
        <f>'C５级比赛'!J37*30</f>
        <v>1520</v>
      </c>
      <c r="K37" s="13">
        <f>'C５级比赛'!K37*30</f>
        <v>1368</v>
      </c>
      <c r="L37" s="13">
        <f>'C５级比赛'!L37*30</f>
        <v>1243.63636363636</v>
      </c>
      <c r="M37" s="13">
        <f>'C５级比赛'!M37*30</f>
        <v>1140</v>
      </c>
      <c r="N37" s="13">
        <f>'C５级比赛'!N37*30</f>
        <v>1052.30769230769</v>
      </c>
      <c r="O37" s="13">
        <f>'C５级比赛'!O37*30</f>
        <v>977.142857142857</v>
      </c>
      <c r="P37" s="13">
        <f>'C５级比赛'!P37*30</f>
        <v>912</v>
      </c>
      <c r="Q37" s="13">
        <f>'C５级比赛'!Q37*30</f>
        <v>855</v>
      </c>
      <c r="R37" s="13">
        <f>'C５级比赛'!R37*30</f>
        <v>760</v>
      </c>
      <c r="S37" s="13">
        <f>'C５级比赛'!S37*30</f>
        <v>684</v>
      </c>
      <c r="T37" s="13">
        <f>'C５级比赛'!T37*30</f>
        <v>526.153846153846</v>
      </c>
      <c r="U37" s="13">
        <f>'C５级比赛'!U37*30</f>
        <v>456</v>
      </c>
      <c r="V37" s="13">
        <f>'C５级比赛'!V37*30</f>
        <v>333.658536585366</v>
      </c>
      <c r="W37" s="13">
        <f>'C５级比赛'!W37*30</f>
        <v>268.235294117647</v>
      </c>
      <c r="X37" s="13">
        <f>'C５级比赛'!X37*30</f>
        <v>224.262295081967</v>
      </c>
      <c r="Y37" s="13">
        <f>'C５级比赛'!Y37*30</f>
        <v>192.676056338028</v>
      </c>
      <c r="Z37" s="13">
        <f>'C５级比赛'!Z37*30</f>
        <v>168.888888888889</v>
      </c>
      <c r="AA37" s="13">
        <f>'C５级比赛'!AA37*30</f>
        <v>150.32967032967</v>
      </c>
      <c r="AB37" s="13">
        <f>'C５级比赛'!AB37*30</f>
        <v>136.8</v>
      </c>
      <c r="AC37" s="13">
        <f>'C５级比赛'!AC37*30</f>
        <v>113.057851239669</v>
      </c>
      <c r="AD37" s="13">
        <f>'C５级比赛'!AD37*30</f>
        <v>97.0212765957447</v>
      </c>
      <c r="AE37" s="13">
        <f>'C５级比赛'!AE37*30</f>
        <v>84.9689440993789</v>
      </c>
      <c r="AF37" s="29">
        <f>'C５级比赛'!AF37*30</f>
        <v>75.5801104972376</v>
      </c>
      <c r="AG37" s="29">
        <f>'C５级比赛'!AG37*30</f>
        <v>68.0597014925373</v>
      </c>
      <c r="AH37" s="29">
        <f>'C５级比赛'!AH37*30</f>
        <v>45.4485049833887</v>
      </c>
      <c r="AI37" s="29">
        <f>'C５级比赛'!AI37*30</f>
        <v>34.1147132169576</v>
      </c>
      <c r="AJ37" s="39">
        <f>'C５级比赛'!AJ37*30</f>
        <v>104669.504889487</v>
      </c>
      <c r="AK37" s="27">
        <f>'C５级比赛'!AK37*30</f>
        <v>104.564939949537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</row>
    <row r="38" spans="1:172">
      <c r="A38" s="22" t="s">
        <v>76</v>
      </c>
      <c r="B38" s="16">
        <f>'C５级比赛'!B38*30</f>
        <v>15048</v>
      </c>
      <c r="C38" s="16">
        <f>'C５级比赛'!C38*30</f>
        <v>13693.68</v>
      </c>
      <c r="D38" s="16">
        <f>'C５级比赛'!D38*30</f>
        <v>9781.2</v>
      </c>
      <c r="E38" s="16">
        <f>'C５级比赛'!E38*30</f>
        <v>7373.52</v>
      </c>
      <c r="F38" s="16">
        <f>'C５级比赛'!F38*30</f>
        <v>4213.44</v>
      </c>
      <c r="G38" s="16">
        <f>'C５级比赛'!G38*30</f>
        <v>3511.2</v>
      </c>
      <c r="H38" s="16">
        <f>'C５级比赛'!H38*30</f>
        <v>3009.6</v>
      </c>
      <c r="I38" s="16">
        <f>'C５级比赛'!I38*30</f>
        <v>2633.4</v>
      </c>
      <c r="J38" s="16">
        <f>'C５级比赛'!J38*30</f>
        <v>2340.8</v>
      </c>
      <c r="K38" s="16">
        <f>'C５级比赛'!K38*30</f>
        <v>2106.72</v>
      </c>
      <c r="L38" s="16">
        <f>'C５级比赛'!L38*30</f>
        <v>1915.2</v>
      </c>
      <c r="M38" s="16">
        <f>'C５级比赛'!M38*30</f>
        <v>1755.6</v>
      </c>
      <c r="N38" s="16">
        <f>'C５级比赛'!N38*30</f>
        <v>1620.55384615385</v>
      </c>
      <c r="O38" s="16">
        <f>'C５级比赛'!O38*30</f>
        <v>1504.8</v>
      </c>
      <c r="P38" s="16">
        <f>'C５级比赛'!P38*30</f>
        <v>1404.48</v>
      </c>
      <c r="Q38" s="16">
        <f>'C５级比赛'!Q38*30</f>
        <v>1316.7</v>
      </c>
      <c r="R38" s="16">
        <f>'C５级比赛'!R38*30</f>
        <v>1170.4</v>
      </c>
      <c r="S38" s="16">
        <f>'C５级比赛'!S38*30</f>
        <v>978.12</v>
      </c>
      <c r="T38" s="16">
        <f>'C５级比赛'!T38*30</f>
        <v>752.4</v>
      </c>
      <c r="U38" s="16">
        <f>'C５级比赛'!U38*30</f>
        <v>652.08</v>
      </c>
      <c r="V38" s="16">
        <f>'C５级比赛'!V38*30</f>
        <v>477.131707317073</v>
      </c>
      <c r="W38" s="16">
        <f>'C５级比赛'!W38*30</f>
        <v>383.576470588235</v>
      </c>
      <c r="X38" s="16">
        <f>'C５级比赛'!X38*30</f>
        <v>320.695081967213</v>
      </c>
      <c r="Y38" s="16">
        <f>'C５级比赛'!Y38*30</f>
        <v>275.52676056338</v>
      </c>
      <c r="Z38" s="16">
        <f>'C５级比赛'!Z38*30</f>
        <v>241.511111111111</v>
      </c>
      <c r="AA38" s="16">
        <f>'C５级比赛'!AA38*30</f>
        <v>214.971428571429</v>
      </c>
      <c r="AB38" s="16">
        <f>'C５级比赛'!AB38*30</f>
        <v>195.624</v>
      </c>
      <c r="AC38" s="16">
        <f>'C５级比赛'!AC38*30</f>
        <v>161.672727272727</v>
      </c>
      <c r="AD38" s="16">
        <f>'C５级比赛'!AD38*30</f>
        <v>138.740425531915</v>
      </c>
      <c r="AE38" s="16">
        <f>'C５级比赛'!AE38*30</f>
        <v>121.505590062112</v>
      </c>
      <c r="AF38" s="25">
        <f>'C５级比赛'!AF38*30</f>
        <v>108.07955801105</v>
      </c>
      <c r="AG38" s="25">
        <f>'C５级比赛'!AG38*30</f>
        <v>97.3253731343284</v>
      </c>
      <c r="AH38" s="25">
        <f>'C５级比赛'!AH38*30</f>
        <v>64.9913621262458</v>
      </c>
      <c r="AI38" s="25">
        <f>'C５级比赛'!AI38*30</f>
        <v>48.7840399002494</v>
      </c>
      <c r="AJ38" s="25">
        <f>'C５级比赛'!AJ38*30</f>
        <v>39.0467065868264</v>
      </c>
      <c r="AK38" s="39">
        <f>'C５级比赛'!AK38*30</f>
        <v>157748.519627683</v>
      </c>
      <c r="AL38" s="27">
        <f>'C５级比赛'!AL38*30</f>
        <v>105.095616007784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</row>
    <row r="39" spans="1:172">
      <c r="A39" s="22" t="s">
        <v>77</v>
      </c>
      <c r="B39" s="16">
        <f>'C５级比赛'!B39*30</f>
        <v>16552.8</v>
      </c>
      <c r="C39" s="16">
        <f>'C５级比赛'!C39*30</f>
        <v>15063.048</v>
      </c>
      <c r="D39" s="16">
        <f>'C５级比赛'!D39*30</f>
        <v>14069.88</v>
      </c>
      <c r="E39" s="16">
        <f>'C５级比赛'!E39*30</f>
        <v>9848.916</v>
      </c>
      <c r="F39" s="16">
        <f>'C５级比赛'!F39*30</f>
        <v>5627.952</v>
      </c>
      <c r="G39" s="16">
        <f>'C５级比赛'!G39*30</f>
        <v>4689.96</v>
      </c>
      <c r="H39" s="16">
        <f>'C５级比赛'!H39*30</f>
        <v>4019.96571428571</v>
      </c>
      <c r="I39" s="16">
        <f>'C５级比赛'!I39*30</f>
        <v>3517.47</v>
      </c>
      <c r="J39" s="16">
        <f>'C５级比赛'!J39*30</f>
        <v>3126.64</v>
      </c>
      <c r="K39" s="16">
        <f>'C５级比赛'!K39*30</f>
        <v>2813.976</v>
      </c>
      <c r="L39" s="16">
        <f>'C５级比赛'!L39*30</f>
        <v>2558.16</v>
      </c>
      <c r="M39" s="16">
        <f>'C５级比赛'!M39*30</f>
        <v>2344.98</v>
      </c>
      <c r="N39" s="16">
        <f>'C５级比赛'!N39*30</f>
        <v>2164.59692307692</v>
      </c>
      <c r="O39" s="16">
        <f>'C５级比赛'!O39*30</f>
        <v>2009.98285714286</v>
      </c>
      <c r="P39" s="16">
        <f>'C５级比赛'!P39*30</f>
        <v>1875.984</v>
      </c>
      <c r="Q39" s="16">
        <f>'C５级比赛'!Q39*30</f>
        <v>1758.735</v>
      </c>
      <c r="R39" s="16">
        <f>'C５级比赛'!R39*30</f>
        <v>1563.32</v>
      </c>
      <c r="S39" s="16">
        <f>'C５级比赛'!S39*30</f>
        <v>1406.988</v>
      </c>
      <c r="T39" s="16">
        <f>'C５级比赛'!T39*30</f>
        <v>1082.29846153846</v>
      </c>
      <c r="U39" s="16">
        <f>'C５级比赛'!U39*30</f>
        <v>937.992</v>
      </c>
      <c r="V39" s="16">
        <f>'C５级比赛'!V39*30</f>
        <v>605.590243902439</v>
      </c>
      <c r="W39" s="16">
        <f>'C５级比赛'!W39*30</f>
        <v>486.847058823529</v>
      </c>
      <c r="X39" s="16">
        <f>'C５级比赛'!X39*30</f>
        <v>407.036065573771</v>
      </c>
      <c r="Y39" s="16">
        <f>'C５级比赛'!Y39*30</f>
        <v>349.707042253521</v>
      </c>
      <c r="Z39" s="16">
        <f>'C５级比赛'!Z39*30</f>
        <v>306.533333333333</v>
      </c>
      <c r="AA39" s="16">
        <f>'C５级比赛'!AA39*30</f>
        <v>272.848351648352</v>
      </c>
      <c r="AB39" s="16">
        <f>'C５级比赛'!AB39*30</f>
        <v>248.292</v>
      </c>
      <c r="AC39" s="16">
        <f>'C５级比赛'!AC39*30</f>
        <v>205.2</v>
      </c>
      <c r="AD39" s="16">
        <f>'C５级比赛'!AD39*30</f>
        <v>176.093617021277</v>
      </c>
      <c r="AE39" s="16">
        <f>'C５级比赛'!AE39*30</f>
        <v>154.218633540373</v>
      </c>
      <c r="AF39" s="25">
        <f>'C５级比赛'!AF39*30</f>
        <v>137.177900552486</v>
      </c>
      <c r="AG39" s="25">
        <f>'C５级比赛'!AG39*30</f>
        <v>123.528358208955</v>
      </c>
      <c r="AH39" s="25">
        <f>'C５级比赛'!AH39*30</f>
        <v>82.4890365448505</v>
      </c>
      <c r="AI39" s="25">
        <f>'C５级比赛'!AI39*30</f>
        <v>61.9182044887781</v>
      </c>
      <c r="AJ39" s="25">
        <f>'C５级比赛'!AJ39*30</f>
        <v>49.5592814371258</v>
      </c>
      <c r="AK39" s="25">
        <f>'C５级比赛'!AK39*30</f>
        <v>33.061517976032</v>
      </c>
      <c r="AL39" s="39">
        <f>'C５级比赛'!AL39*30</f>
        <v>210472.117557378</v>
      </c>
      <c r="AM39" s="27">
        <f>'C５级比赛'!AM39*30</f>
        <v>105.183467045166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</row>
    <row r="40" spans="1:172">
      <c r="A40" s="22" t="s">
        <v>78</v>
      </c>
      <c r="B40" s="16">
        <f>'C５级比赛'!B40*30</f>
        <v>19035.72</v>
      </c>
      <c r="C40" s="16">
        <f>'C５级比赛'!C40*30</f>
        <v>17322.5052</v>
      </c>
      <c r="D40" s="16">
        <f>'C５级比赛'!D40*30</f>
        <v>15704.469</v>
      </c>
      <c r="E40" s="16">
        <f>'C５级比赛'!E40*30</f>
        <v>14657.5044</v>
      </c>
      <c r="F40" s="16">
        <f>'C５级比赛'!F40*30</f>
        <v>8375.7168</v>
      </c>
      <c r="G40" s="16">
        <f>'C５级比赛'!G40*30</f>
        <v>6979.764</v>
      </c>
      <c r="H40" s="16">
        <f>'C５级比赛'!H40*30</f>
        <v>5982.65485714286</v>
      </c>
      <c r="I40" s="16">
        <f>'C５级比赛'!I40*30</f>
        <v>5234.823</v>
      </c>
      <c r="J40" s="16">
        <f>'C５级比赛'!J40*30</f>
        <v>4653.176</v>
      </c>
      <c r="K40" s="16">
        <f>'C５级比赛'!K40*30</f>
        <v>4187.8584</v>
      </c>
      <c r="L40" s="16">
        <f>'C５级比赛'!L40*30</f>
        <v>3807.144</v>
      </c>
      <c r="M40" s="16">
        <f>'C５级比赛'!M40*30</f>
        <v>3489.882</v>
      </c>
      <c r="N40" s="16">
        <f>'C５级比赛'!N40*30</f>
        <v>3221.42953846154</v>
      </c>
      <c r="O40" s="16">
        <f>'C５级比赛'!O40*30</f>
        <v>2991.32742857143</v>
      </c>
      <c r="P40" s="16">
        <f>'C５级比赛'!P40*30</f>
        <v>2791.9056</v>
      </c>
      <c r="Q40" s="16">
        <f>'C５级比赛'!Q40*30</f>
        <v>2617.4115</v>
      </c>
      <c r="R40" s="16">
        <f>'C５级比赛'!R40*30</f>
        <v>2326.588</v>
      </c>
      <c r="S40" s="16">
        <f>'C５级比赛'!S40*30</f>
        <v>2093.9292</v>
      </c>
      <c r="T40" s="16">
        <f>'C５级比赛'!T40*30</f>
        <v>1610.71476923077</v>
      </c>
      <c r="U40" s="16">
        <f>'C５级比赛'!U40*30</f>
        <v>1395.9528</v>
      </c>
      <c r="V40" s="16">
        <f>'C５级比赛'!V40*30</f>
        <v>1021.42887804878</v>
      </c>
      <c r="W40" s="16">
        <f>'C５级比赛'!W40*30</f>
        <v>821.148705882353</v>
      </c>
      <c r="X40" s="16">
        <f>'C５级比赛'!X40*30</f>
        <v>686.534163934426</v>
      </c>
      <c r="Y40" s="16">
        <f>'C５级比赛'!Y40*30</f>
        <v>589.839211267606</v>
      </c>
      <c r="Z40" s="16">
        <f>'C５级比赛'!Z40*30</f>
        <v>517.019555555556</v>
      </c>
      <c r="AA40" s="16">
        <f>'C５级比赛'!AA40*30</f>
        <v>460.20421978022</v>
      </c>
      <c r="AB40" s="16">
        <f>'C５级比赛'!AB40*30</f>
        <v>418.78584</v>
      </c>
      <c r="AC40" s="16">
        <f>'C５级比赛'!AC40*30</f>
        <v>346.104</v>
      </c>
      <c r="AD40" s="16">
        <f>'C５级比赛'!AD40*30</f>
        <v>270.010212765957</v>
      </c>
      <c r="AE40" s="16">
        <f>'C５级比赛'!AE40*30</f>
        <v>236.468571428571</v>
      </c>
      <c r="AF40" s="25">
        <f>'C５级比赛'!AF40*30</f>
        <v>210.339447513812</v>
      </c>
      <c r="AG40" s="25">
        <f>'C５级比赛'!AG40*30</f>
        <v>189.410149253731</v>
      </c>
      <c r="AH40" s="25">
        <f>'C５级比赛'!AH40*30</f>
        <v>126.483189368771</v>
      </c>
      <c r="AI40" s="25">
        <f>'C５级比赛'!AI40*30</f>
        <v>94.941246882793</v>
      </c>
      <c r="AJ40" s="25">
        <f>'C５级比赛'!AJ40*30</f>
        <v>60.7927185628743</v>
      </c>
      <c r="AK40" s="25">
        <f>'C５级比赛'!AK40*30</f>
        <v>40.5554620505992</v>
      </c>
      <c r="AL40" s="25">
        <f>'C５级比赛'!AL40*30</f>
        <v>30.4267252747253</v>
      </c>
      <c r="AM40" s="39">
        <f>'C５级比赛'!AM40*30</f>
        <v>315362.990190446</v>
      </c>
      <c r="AN40" s="27">
        <f>'C５级比赛'!AN40*30</f>
        <v>105.085968074124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</row>
    <row r="41" spans="1:172">
      <c r="A41" s="22" t="s">
        <v>79</v>
      </c>
      <c r="B41" s="16">
        <f>'C５级比赛'!B41*30</f>
        <v>21891.078</v>
      </c>
      <c r="C41" s="16">
        <f>'C５级比赛'!C41*30</f>
        <v>19920.88098</v>
      </c>
      <c r="D41" s="16">
        <f>'C５级比赛'!D41*30</f>
        <v>18060.13935</v>
      </c>
      <c r="E41" s="16">
        <f>'C５级比赛'!E41*30</f>
        <v>16856.13006</v>
      </c>
      <c r="F41" s="16">
        <f>'C５级比赛'!F41*30</f>
        <v>11383.36056</v>
      </c>
      <c r="G41" s="16">
        <f>'C５级比赛'!G41*30</f>
        <v>9486.1338</v>
      </c>
      <c r="H41" s="16">
        <f>'C５级比赛'!H41*30</f>
        <v>8130.97182857143</v>
      </c>
      <c r="I41" s="16">
        <f>'C５级比赛'!I41*30</f>
        <v>7114.60035</v>
      </c>
      <c r="J41" s="16">
        <f>'C５级比赛'!J41*30</f>
        <v>6324.0892</v>
      </c>
      <c r="K41" s="16">
        <f>'C５级比赛'!K41*30</f>
        <v>5691.68028</v>
      </c>
      <c r="L41" s="16">
        <f>'C５级比赛'!L41*30</f>
        <v>5174.2548</v>
      </c>
      <c r="M41" s="16">
        <f>'C５级比赛'!M41*30</f>
        <v>4743.0669</v>
      </c>
      <c r="N41" s="16">
        <f>'C５级比赛'!N41*30</f>
        <v>4378.2156</v>
      </c>
      <c r="O41" s="16">
        <f>'C５级比赛'!O41*30</f>
        <v>4065.48591428572</v>
      </c>
      <c r="P41" s="16">
        <f>'C５级比赛'!P41*30</f>
        <v>3794.45352</v>
      </c>
      <c r="Q41" s="16">
        <f>'C５级比赛'!Q41*30</f>
        <v>3557.300175</v>
      </c>
      <c r="R41" s="16">
        <f>'C５级比赛'!R41*30</f>
        <v>3162.0446</v>
      </c>
      <c r="S41" s="16">
        <f>'C５级比赛'!S41*30</f>
        <v>2845.84014</v>
      </c>
      <c r="T41" s="16">
        <f>'C５级比赛'!T41*30</f>
        <v>2189.1078</v>
      </c>
      <c r="U41" s="16">
        <f>'C５级比赛'!U41*30</f>
        <v>1897.22676</v>
      </c>
      <c r="V41" s="16">
        <f>'C５级比赛'!V41*30</f>
        <v>1388.21470243902</v>
      </c>
      <c r="W41" s="16">
        <f>'C５级比赛'!W41*30</f>
        <v>1116.01574117647</v>
      </c>
      <c r="X41" s="16">
        <f>'C５级比赛'!X41*30</f>
        <v>933.062340983607</v>
      </c>
      <c r="Y41" s="16">
        <f>'C５级比赛'!Y41*30</f>
        <v>801.645109859155</v>
      </c>
      <c r="Z41" s="16">
        <f>'C５级比赛'!Z41*30</f>
        <v>702.676577777778</v>
      </c>
      <c r="AA41" s="16">
        <f>'C５级比赛'!AA41*30</f>
        <v>625.459371428571</v>
      </c>
      <c r="AB41" s="16">
        <f>'C５级比赛'!AB41*30</f>
        <v>569.168028</v>
      </c>
      <c r="AC41" s="16">
        <f>'C５级比赛'!AC41*30</f>
        <v>398.0196</v>
      </c>
      <c r="AD41" s="16">
        <f>'C５级比赛'!AD41*30</f>
        <v>341.562919148936</v>
      </c>
      <c r="AE41" s="16">
        <f>'C５级比赛'!AE41*30</f>
        <v>299.132742857143</v>
      </c>
      <c r="AF41" s="25">
        <f>'C５级比赛'!AF41*30</f>
        <v>266.079401104972</v>
      </c>
      <c r="AG41" s="25">
        <f>'C５级比赛'!AG41*30</f>
        <v>239.60383880597</v>
      </c>
      <c r="AH41" s="25">
        <f>'C５级比赛'!AH41*30</f>
        <v>145.455667774086</v>
      </c>
      <c r="AI41" s="25">
        <f>'C５级比赛'!AI41*30</f>
        <v>109.182433915212</v>
      </c>
      <c r="AJ41" s="25">
        <f>'C５级比赛'!AJ41*30</f>
        <v>87.3895329341318</v>
      </c>
      <c r="AK41" s="25">
        <f>'C５级比赛'!AK41*30</f>
        <v>58.2984766977364</v>
      </c>
      <c r="AL41" s="25">
        <f>'C５级比赛'!AL41*30</f>
        <v>43.7384175824176</v>
      </c>
      <c r="AM41" s="25">
        <f>'C５级比赛'!AM41*30</f>
        <v>23.3349265822785</v>
      </c>
      <c r="AN41" s="39">
        <f>'C５级比赛'!AN41*30</f>
        <v>420295.143391566</v>
      </c>
      <c r="AO41" s="27">
        <f>'C５级比赛'!AO41*30</f>
        <v>105.0475239669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</row>
    <row r="42" spans="1:172">
      <c r="A42" s="22" t="s">
        <v>80</v>
      </c>
      <c r="B42" s="16">
        <f>'C５级比赛'!B42*30</f>
        <v>25174.7397</v>
      </c>
      <c r="C42" s="16">
        <f>'C５级比赛'!C42*30</f>
        <v>22909.013127</v>
      </c>
      <c r="D42" s="16">
        <f>'C５级比赛'!D42*30</f>
        <v>20769.1602525</v>
      </c>
      <c r="E42" s="16">
        <f>'C５级比赛'!E42*30</f>
        <v>19384.549569</v>
      </c>
      <c r="F42" s="16">
        <f>'C５级比赛'!F42*30</f>
        <v>16615.328202</v>
      </c>
      <c r="G42" s="16">
        <f>'C５级比赛'!G42*30</f>
        <v>13846.106835</v>
      </c>
      <c r="H42" s="16">
        <f>'C５级比赛'!H42*30</f>
        <v>11868.0915728571</v>
      </c>
      <c r="I42" s="16">
        <f>'C５级比赛'!I42*30</f>
        <v>10384.58012625</v>
      </c>
      <c r="J42" s="16">
        <f>'C５级比赛'!J42*30</f>
        <v>9230.73789</v>
      </c>
      <c r="K42" s="16">
        <f>'C５级比赛'!K42*30</f>
        <v>8307.664101</v>
      </c>
      <c r="L42" s="16">
        <f>'C５级比赛'!L42*30</f>
        <v>7552.42191</v>
      </c>
      <c r="M42" s="16">
        <f>'C５级比赛'!M42*30</f>
        <v>6923.0534175</v>
      </c>
      <c r="N42" s="16">
        <f>'C５级比赛'!N42*30</f>
        <v>6390.51084692308</v>
      </c>
      <c r="O42" s="16">
        <f>'C５级比赛'!O42*30</f>
        <v>5934.04578642857</v>
      </c>
      <c r="P42" s="16">
        <f>'C５级比赛'!P42*30</f>
        <v>5538.442734</v>
      </c>
      <c r="Q42" s="16">
        <f>'C５级比赛'!Q42*30</f>
        <v>5192.290063125</v>
      </c>
      <c r="R42" s="16">
        <f>'C５级比赛'!R42*30</f>
        <v>4615.368945</v>
      </c>
      <c r="S42" s="16">
        <f>'C５级比赛'!S42*30</f>
        <v>4153.8320505</v>
      </c>
      <c r="T42" s="16">
        <f>'C５级比赛'!T42*30</f>
        <v>3195.25542346154</v>
      </c>
      <c r="U42" s="16">
        <f>'C５级比赛'!U42*30</f>
        <v>2769.221367</v>
      </c>
      <c r="V42" s="16">
        <f>'C５级比赛'!V42*30</f>
        <v>2026.25953682927</v>
      </c>
      <c r="W42" s="16">
        <f>'C５级比赛'!W42*30</f>
        <v>1628.95374529412</v>
      </c>
      <c r="X42" s="16">
        <f>'C５级比赛'!X42*30</f>
        <v>1361.91214770492</v>
      </c>
      <c r="Y42" s="16">
        <f>'C５级比赛'!Y42*30</f>
        <v>1170.09353535211</v>
      </c>
      <c r="Z42" s="16">
        <f>'C５级比赛'!Z42*30</f>
        <v>1025.63754333333</v>
      </c>
      <c r="AA42" s="16">
        <f>'C５级比赛'!AA42*30</f>
        <v>912.930120989011</v>
      </c>
      <c r="AB42" s="16">
        <f>'C５级比赛'!AB42*30</f>
        <v>830.7664101</v>
      </c>
      <c r="AC42" s="16">
        <f>'C５级比赛'!AC42*30</f>
        <v>686.58381</v>
      </c>
      <c r="AD42" s="16">
        <f>'C５级比赛'!AD42*30</f>
        <v>589.196035531915</v>
      </c>
      <c r="AE42" s="16">
        <f>'C５级比赛'!AE42*30</f>
        <v>516.003981428571</v>
      </c>
      <c r="AF42" s="25">
        <f>'C５级比赛'!AF42*30</f>
        <v>458.986966906077</v>
      </c>
      <c r="AG42" s="25">
        <f>'C５级比赛'!AG42*30</f>
        <v>413.316621940298</v>
      </c>
      <c r="AH42" s="25">
        <f>'C５级比赛'!AH42*30</f>
        <v>250.911026910299</v>
      </c>
      <c r="AI42" s="25">
        <f>'C５级比赛'!AI42*30</f>
        <v>188.339698503741</v>
      </c>
      <c r="AJ42" s="25">
        <f>'C５级比赛'!AJ42*30</f>
        <v>150.746944311377</v>
      </c>
      <c r="AK42" s="25">
        <f>'C５级比赛'!AK42*30</f>
        <v>83.804060252996</v>
      </c>
      <c r="AL42" s="25">
        <f>'C５级比赛'!AL42*30</f>
        <v>50.2991802197802</v>
      </c>
      <c r="AM42" s="25">
        <f>'C５级比赛'!AM42*30</f>
        <v>33.5439569620253</v>
      </c>
      <c r="AN42" s="25">
        <f>'C５级比赛'!AN42*30</f>
        <v>22.6459427586207</v>
      </c>
      <c r="AO42" s="39">
        <f>'C５级比赛'!AO42*30</f>
        <v>630847.391671926</v>
      </c>
      <c r="AP42" s="27">
        <f>'C５级比赛'!AP42*30</f>
        <v>105.123711326767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</row>
    <row r="43" spans="1:172">
      <c r="A43" s="22" t="s">
        <v>81</v>
      </c>
      <c r="B43" s="16">
        <f>'C５级比赛'!B43*30</f>
        <v>28950.950655</v>
      </c>
      <c r="C43" s="16">
        <f>'C５级比赛'!C43*30</f>
        <v>26345.36509605</v>
      </c>
      <c r="D43" s="16">
        <f>'C５级比赛'!D43*30</f>
        <v>23884.534290375</v>
      </c>
      <c r="E43" s="16">
        <f>'C５级比赛'!E43*30</f>
        <v>22292.23200435</v>
      </c>
      <c r="F43" s="16">
        <f>'C５级比赛'!F43*30</f>
        <v>20844.6844716</v>
      </c>
      <c r="G43" s="16">
        <f>'C５级比赛'!G43*30</f>
        <v>17370.570393</v>
      </c>
      <c r="H43" s="16">
        <f>'C５级比赛'!H43*30</f>
        <v>14889.0603368571</v>
      </c>
      <c r="I43" s="16">
        <f>'C５级比赛'!I43*30</f>
        <v>13027.92779475</v>
      </c>
      <c r="J43" s="16">
        <f>'C５级比赛'!J43*30</f>
        <v>11580.380262</v>
      </c>
      <c r="K43" s="16">
        <f>'C５级比赛'!K43*30</f>
        <v>10422.3422358</v>
      </c>
      <c r="L43" s="16">
        <f>'C５级比赛'!L43*30</f>
        <v>9474.856578</v>
      </c>
      <c r="M43" s="16">
        <f>'C５级比赛'!M43*30</f>
        <v>8685.2851965</v>
      </c>
      <c r="N43" s="16">
        <f>'C５级比赛'!N43*30</f>
        <v>8017.18633523077</v>
      </c>
      <c r="O43" s="16">
        <f>'C５级比赛'!O43*30</f>
        <v>7444.53016842857</v>
      </c>
      <c r="P43" s="16">
        <f>'C５级比赛'!P43*30</f>
        <v>6948.2281572</v>
      </c>
      <c r="Q43" s="16">
        <f>'C５级比赛'!Q43*30</f>
        <v>6513.963897375</v>
      </c>
      <c r="R43" s="16">
        <f>'C５级比赛'!R43*30</f>
        <v>5790.190131</v>
      </c>
      <c r="S43" s="16">
        <f>'C５级比赛'!S43*30</f>
        <v>5211.1711179</v>
      </c>
      <c r="T43" s="16">
        <f>'C５级比赛'!T43*30</f>
        <v>4008.59316761539</v>
      </c>
      <c r="U43" s="16">
        <f>'C５级比赛'!U43*30</f>
        <v>3474.1140786</v>
      </c>
      <c r="V43" s="16">
        <f>'C５级比赛'!V43*30</f>
        <v>2542.03469165854</v>
      </c>
      <c r="W43" s="16">
        <f>'C５级比赛'!W43*30</f>
        <v>2043.59651682353</v>
      </c>
      <c r="X43" s="16">
        <f>'C５级比赛'!X43*30</f>
        <v>1708.58069439344</v>
      </c>
      <c r="Y43" s="16">
        <f>'C５级比赛'!Y43*30</f>
        <v>1467.93552616901</v>
      </c>
      <c r="Z43" s="16">
        <f>'C５级比赛'!Z43*30</f>
        <v>1286.708918</v>
      </c>
      <c r="AA43" s="16">
        <f>'C５级比赛'!AA43*30</f>
        <v>1145.3123336044</v>
      </c>
      <c r="AB43" s="16">
        <f>'C５级比赛'!AB43*30</f>
        <v>1042.23422358</v>
      </c>
      <c r="AC43" s="16">
        <f>'C５级比赛'!AC43*30</f>
        <v>861.350598</v>
      </c>
      <c r="AD43" s="16">
        <f>'C５级比赛'!AD43*30</f>
        <v>718.640619095745</v>
      </c>
      <c r="AE43" s="16">
        <f>'C５级比赛'!AE43*30</f>
        <v>629.3684925</v>
      </c>
      <c r="AF43" s="25">
        <f>'C５级比赛'!AF43*30</f>
        <v>559.825012665746</v>
      </c>
      <c r="AG43" s="25">
        <f>'C５级比赛'!AG43*30</f>
        <v>504.12103130597</v>
      </c>
      <c r="AH43" s="25">
        <f>'C５级比赛'!AH43*30</f>
        <v>317.402449041528</v>
      </c>
      <c r="AI43" s="25">
        <f>'C５级比赛'!AI43*30</f>
        <v>238.249718607232</v>
      </c>
      <c r="AJ43" s="25">
        <f>'C５级比赛'!AJ43*30</f>
        <v>179.137618823353</v>
      </c>
      <c r="AK43" s="25">
        <f>'C５级比赛'!AK43*30</f>
        <v>115.649603149134</v>
      </c>
      <c r="AL43" s="25">
        <f>'C５级比赛'!AL43*30</f>
        <v>86.7660858791209</v>
      </c>
      <c r="AM43" s="25">
        <f>'C５级比赛'!AM43*30</f>
        <v>57.8633257594937</v>
      </c>
      <c r="AN43" s="25">
        <f>'C５级比赛'!AN43*30</f>
        <v>43.4047236206897</v>
      </c>
      <c r="AO43" s="25">
        <f>'C５级比赛'!AO43*30</f>
        <v>27.0118833168944</v>
      </c>
      <c r="AP43" s="39">
        <f>'C５级比赛'!AP43*30</f>
        <v>841992.098245274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</row>
    <row r="44" s="2" customFormat="1" ht="21.6" spans="1:172">
      <c r="A44" s="19" t="s">
        <v>82</v>
      </c>
      <c r="B44" s="13">
        <f>'C５级比赛'!B44*30</f>
        <v>33293.59325325</v>
      </c>
      <c r="C44" s="13">
        <f>'C５级比赛'!C44*30</f>
        <v>30297.1698604575</v>
      </c>
      <c r="D44" s="13">
        <f>'C５级比赛'!D44*30</f>
        <v>27467.2144339312</v>
      </c>
      <c r="E44" s="13">
        <f>'C５级比赛'!E44*30</f>
        <v>25636.0668050025</v>
      </c>
      <c r="F44" s="13">
        <f>'C５级比赛'!F44*30</f>
        <v>23971.38714234</v>
      </c>
      <c r="G44" s="13">
        <f>'C５级比赛'!G44*30</f>
        <v>19976.15595195</v>
      </c>
      <c r="H44" s="13">
        <f>'C５级比赛'!H44*30</f>
        <v>17122.4193873857</v>
      </c>
      <c r="I44" s="13">
        <f>'C５级比赛'!I44*30</f>
        <v>14982.1169639625</v>
      </c>
      <c r="J44" s="13">
        <f>'C５级比赛'!J44*30</f>
        <v>13317.4373013</v>
      </c>
      <c r="K44" s="13">
        <f>'C５级比赛'!K44*30</f>
        <v>11985.69357117</v>
      </c>
      <c r="L44" s="13">
        <f>'C５级比赛'!L44*30</f>
        <v>10896.0850647</v>
      </c>
      <c r="M44" s="13">
        <f>'C５级比赛'!M44*30</f>
        <v>9988.077975975</v>
      </c>
      <c r="N44" s="13">
        <f>'C５级比赛'!N44*30</f>
        <v>9219.76428551538</v>
      </c>
      <c r="O44" s="13">
        <f>'C５级比赛'!O44*30</f>
        <v>8561.20969369286</v>
      </c>
      <c r="P44" s="13">
        <f>'C５级比赛'!P44*30</f>
        <v>7990.46238078</v>
      </c>
      <c r="Q44" s="13">
        <f>'C５级比赛'!Q44*30</f>
        <v>7491.05848198125</v>
      </c>
      <c r="R44" s="13">
        <f>'C５级比赛'!R44*30</f>
        <v>6658.71865065</v>
      </c>
      <c r="S44" s="13">
        <f>'C５级比赛'!S44*30</f>
        <v>5992.846785585</v>
      </c>
      <c r="T44" s="13">
        <f>'C５级比赛'!T44*30</f>
        <v>4609.88214275769</v>
      </c>
      <c r="U44" s="13">
        <f>'C５级比赛'!U44*30</f>
        <v>3995.23119039</v>
      </c>
      <c r="V44" s="13">
        <f>'C５级比赛'!V44*30</f>
        <v>2923.33989540732</v>
      </c>
      <c r="W44" s="13">
        <f>'C５级比赛'!W44*30</f>
        <v>2350.13599434706</v>
      </c>
      <c r="X44" s="13">
        <f>'C５级比赛'!X44*30</f>
        <v>1964.86779855246</v>
      </c>
      <c r="Y44" s="13">
        <f>'C５级比赛'!Y44*30</f>
        <v>1688.12585509437</v>
      </c>
      <c r="Z44" s="13">
        <f>'C５级比赛'!Z44*30</f>
        <v>1479.7152557</v>
      </c>
      <c r="AA44" s="13">
        <f>'C５级比赛'!AA44*30</f>
        <v>1317.10918364506</v>
      </c>
      <c r="AB44" s="13">
        <f>'C５级比赛'!AB44*30</f>
        <v>1198.569357117</v>
      </c>
      <c r="AC44" s="13">
        <f>'C５级比赛'!AC44*30</f>
        <v>990.5531877</v>
      </c>
      <c r="AD44" s="13">
        <f>'C５级比赛'!AD44*30</f>
        <v>850.049189444681</v>
      </c>
      <c r="AE44" s="13">
        <f>'C５级比赛'!AE44*30</f>
        <v>744.453016842857</v>
      </c>
      <c r="AF44" s="29">
        <f>'C５级比赛'!AF44*30</f>
        <v>662.193014981768</v>
      </c>
      <c r="AG44" s="29">
        <f>'C５级比赛'!AG44*30</f>
        <v>596.303162744776</v>
      </c>
      <c r="AH44" s="29">
        <f>'C５级比赛'!AH44*30</f>
        <v>398.195799706645</v>
      </c>
      <c r="AI44" s="29">
        <f>'C５级比赛'!AI44*30</f>
        <v>298.895101525436</v>
      </c>
      <c r="AJ44" s="29">
        <f>'C５级比赛'!AJ44*30</f>
        <v>239.235400622156</v>
      </c>
      <c r="AK44" s="29">
        <f>'C５级比赛'!AK44*30</f>
        <v>159.596452345806</v>
      </c>
      <c r="AL44" s="29">
        <f>'C５级比赛'!AL44*30</f>
        <v>116.411165221154</v>
      </c>
      <c r="AM44" s="29">
        <f>'C５级比赛'!AM44*30</f>
        <v>77.6332953939873</v>
      </c>
      <c r="AN44" s="29">
        <f>'C５级比赛'!AN44*30</f>
        <v>58.2346708577586</v>
      </c>
      <c r="AO44" s="29">
        <f>'C５级比赛'!AO44*30</f>
        <v>38.8295822680357</v>
      </c>
      <c r="AP44" s="29">
        <f>'C５级比赛'!AP44*30</f>
        <v>29.1246129433579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</row>
    <row r="45" spans="1:172">
      <c r="A45" s="22" t="s">
        <v>83</v>
      </c>
      <c r="B45" s="16">
        <f>'C５级比赛'!B45*30</f>
        <v>33293.59325325</v>
      </c>
      <c r="C45" s="16">
        <f>'C５级比赛'!C45*30</f>
        <v>30297.1698604575</v>
      </c>
      <c r="D45" s="16">
        <f>'C５级比赛'!D45*30</f>
        <v>27467.2144339312</v>
      </c>
      <c r="E45" s="16">
        <f>'C５级比赛'!E45*30</f>
        <v>25636.0668050025</v>
      </c>
      <c r="F45" s="16">
        <f>'C５级比赛'!F45*30</f>
        <v>23971.38714234</v>
      </c>
      <c r="G45" s="16">
        <f>'C５级比赛'!G45*30</f>
        <v>19976.15595195</v>
      </c>
      <c r="H45" s="16">
        <f>'C５级比赛'!H45*30</f>
        <v>17122.4193873857</v>
      </c>
      <c r="I45" s="16">
        <f>'C５级比赛'!I45*30</f>
        <v>14982.1169639625</v>
      </c>
      <c r="J45" s="16">
        <f>'C５级比赛'!J45*30</f>
        <v>13317.4373013</v>
      </c>
      <c r="K45" s="16">
        <f>'C５级比赛'!K45*30</f>
        <v>11985.69357117</v>
      </c>
      <c r="L45" s="16">
        <f>'C５级比赛'!L45*30</f>
        <v>10896.0850647</v>
      </c>
      <c r="M45" s="16">
        <f>'C５级比赛'!M45*30</f>
        <v>9988.077975975</v>
      </c>
      <c r="N45" s="16">
        <f>'C５级比赛'!N45*30</f>
        <v>9219.76428551538</v>
      </c>
      <c r="O45" s="16">
        <f>'C５级比赛'!O45*30</f>
        <v>8561.20969369286</v>
      </c>
      <c r="P45" s="16">
        <f>'C５级比赛'!P45*30</f>
        <v>7990.46238078</v>
      </c>
      <c r="Q45" s="16">
        <f>'C５级比赛'!Q45*30</f>
        <v>7491.05848198125</v>
      </c>
      <c r="R45" s="16">
        <f>'C５级比赛'!R45*30</f>
        <v>6658.71865065</v>
      </c>
      <c r="S45" s="16">
        <f>'C５级比赛'!S45*30</f>
        <v>5992.846785585</v>
      </c>
      <c r="T45" s="16">
        <f>'C５级比赛'!T45*30</f>
        <v>4609.88214275769</v>
      </c>
      <c r="U45" s="16">
        <f>'C５级比赛'!U45*30</f>
        <v>3995.23119039</v>
      </c>
      <c r="V45" s="16">
        <f>'C５级比赛'!V45*30</f>
        <v>2923.33989540732</v>
      </c>
      <c r="W45" s="16">
        <f>'C５级比赛'!W45*30</f>
        <v>2350.13599434706</v>
      </c>
      <c r="X45" s="16">
        <f>'C５级比赛'!X45*30</f>
        <v>1964.86779855246</v>
      </c>
      <c r="Y45" s="16">
        <f>'C５级比赛'!Y45*30</f>
        <v>1688.12585509437</v>
      </c>
      <c r="Z45" s="16">
        <f>'C５级比赛'!Z45*30</f>
        <v>1479.7152557</v>
      </c>
      <c r="AA45" s="16">
        <f>'C５级比赛'!AA45*30</f>
        <v>1317.10918364506</v>
      </c>
      <c r="AB45" s="16">
        <f>'C５级比赛'!AB45*30</f>
        <v>1198.569357117</v>
      </c>
      <c r="AC45" s="16">
        <f>'C５级比赛'!AC45*30</f>
        <v>990.5531877</v>
      </c>
      <c r="AD45" s="16">
        <f>'C５级比赛'!AD45*30</f>
        <v>850.049189444681</v>
      </c>
      <c r="AE45" s="16">
        <f>'C５级比赛'!AE45*30</f>
        <v>744.453016842857</v>
      </c>
      <c r="AF45" s="25">
        <f>'C５级比赛'!AF45*30</f>
        <v>662.193014981768</v>
      </c>
      <c r="AG45" s="25">
        <f>'C５级比赛'!AG45*30</f>
        <v>596.303162744776</v>
      </c>
      <c r="AH45" s="25">
        <f>'C５级比赛'!AH45*30</f>
        <v>398.195799706645</v>
      </c>
      <c r="AI45" s="25">
        <f>'C５级比赛'!AI45*30</f>
        <v>298.895101525436</v>
      </c>
      <c r="AJ45" s="25">
        <f>'C５级比赛'!AJ45*30</f>
        <v>239.235400622156</v>
      </c>
      <c r="AK45" s="25">
        <f>'C５级比赛'!AK45*30</f>
        <v>159.596452345806</v>
      </c>
      <c r="AL45" s="25">
        <f>'C５级比赛'!AL45*30</f>
        <v>116.411165221154</v>
      </c>
      <c r="AM45" s="25">
        <f>'C５级比赛'!AM45*30</f>
        <v>77.6332953939873</v>
      </c>
      <c r="AN45" s="25">
        <f>'C５级比赛'!AN45*30</f>
        <v>58.2346708577586</v>
      </c>
      <c r="AO45" s="25">
        <f>'C５级比赛'!AO45*30</f>
        <v>38.8295822680357</v>
      </c>
      <c r="AP45" s="25">
        <f>'C５级比赛'!AP45*30</f>
        <v>29.1246129433579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conditionalFormatting sqref="1:1048576">
    <cfRule type="cellIs" dxfId="3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Q67"/>
  <sheetViews>
    <sheetView topLeftCell="A11" workbookViewId="0">
      <selection activeCell="N33" sqref="N33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86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'C５级比赛'!B4*15</f>
        <v>75</v>
      </c>
      <c r="C4" s="38">
        <v>75</v>
      </c>
      <c r="D4" s="15">
        <v>37.5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'C５级比赛'!B5*15</f>
        <v>90</v>
      </c>
      <c r="C5" s="18">
        <f>'C５级比赛'!C5*15</f>
        <v>63</v>
      </c>
      <c r="D5" s="38">
        <f>'C５级比赛'!D5*15</f>
        <v>153</v>
      </c>
      <c r="E5" s="15">
        <f>'C５级比赛'!E5*15</f>
        <v>38.25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'C５级比赛'!B6*15</f>
        <v>105</v>
      </c>
      <c r="C6" s="18">
        <f>'C５级比赛'!C6*15</f>
        <v>73.5</v>
      </c>
      <c r="D6" s="16">
        <f>'C５级比赛'!D6*15</f>
        <v>52.5</v>
      </c>
      <c r="E6" s="38">
        <f>'C５级比赛'!E6*15</f>
        <v>231</v>
      </c>
      <c r="F6" s="15">
        <f>'C５级比赛'!F6*15</f>
        <v>38.5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50">
      <c r="A7" s="17" t="s">
        <v>45</v>
      </c>
      <c r="B7" s="18">
        <f>'C５级比赛'!B7*15</f>
        <v>127.5</v>
      </c>
      <c r="C7" s="18">
        <f>'C５级比赛'!C7*15</f>
        <v>89.25</v>
      </c>
      <c r="D7" s="16">
        <f>'C５级比赛'!D7*15</f>
        <v>63.75</v>
      </c>
      <c r="E7" s="16">
        <f>'C５级比赛'!E7*15</f>
        <v>44.625</v>
      </c>
      <c r="F7" s="38">
        <f>'C５级比赛'!F7*15</f>
        <v>325.125</v>
      </c>
      <c r="G7" s="15">
        <f>'C５级比赛'!G7*15</f>
        <v>40.640625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3"/>
      <c r="AR7" s="23"/>
      <c r="AS7" s="23"/>
      <c r="AT7" s="23"/>
      <c r="AU7" s="23"/>
      <c r="AV7" s="23"/>
      <c r="AW7" s="23"/>
      <c r="AX7" s="23"/>
    </row>
    <row r="8" s="3" customFormat="1" spans="1:50">
      <c r="A8" s="19" t="s">
        <v>46</v>
      </c>
      <c r="B8" s="13">
        <f>'C５级比赛'!B8*15</f>
        <v>150</v>
      </c>
      <c r="C8" s="13">
        <f>'C５级比赛'!C8*15</f>
        <v>105</v>
      </c>
      <c r="D8" s="13">
        <f>'C５级比赛'!D8*15</f>
        <v>75</v>
      </c>
      <c r="E8" s="13">
        <f>'C５级比赛'!E8*15</f>
        <v>52.5</v>
      </c>
      <c r="F8" s="13">
        <f>'C５级比赛'!F8*15</f>
        <v>30</v>
      </c>
      <c r="G8" s="38">
        <f>'C５级比赛'!G8*15</f>
        <v>412.5</v>
      </c>
      <c r="H8" s="15">
        <f>'C５级比赛'!H8*15</f>
        <v>41.25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50">
      <c r="A9" s="17" t="s">
        <v>47</v>
      </c>
      <c r="B9" s="18">
        <f>'C５级比赛'!B9*15</f>
        <v>180</v>
      </c>
      <c r="C9" s="18">
        <f>'C５级比赛'!C9*15</f>
        <v>126</v>
      </c>
      <c r="D9" s="16">
        <f>'C５级比赛'!D9*15</f>
        <v>90</v>
      </c>
      <c r="E9" s="16">
        <f>'C５级比赛'!E9*15</f>
        <v>63</v>
      </c>
      <c r="F9" s="16">
        <f>'C５级比赛'!F9*15</f>
        <v>36</v>
      </c>
      <c r="G9" s="16">
        <f>'C５级比赛'!G9*15</f>
        <v>30</v>
      </c>
      <c r="H9" s="38">
        <f>'C５级比赛'!H9*15</f>
        <v>525</v>
      </c>
      <c r="I9" s="15">
        <f>'C５级比赛'!I9*15</f>
        <v>43.75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AR9" s="23"/>
      <c r="AS9" s="23"/>
      <c r="AT9" s="23"/>
      <c r="AU9" s="23"/>
      <c r="AV9" s="23"/>
      <c r="AW9" s="23"/>
      <c r="AX9" s="23"/>
    </row>
    <row r="10" spans="1:50">
      <c r="A10" s="20" t="s">
        <v>48</v>
      </c>
      <c r="B10" s="18">
        <f>'C５级比赛'!B10*15</f>
        <v>202.5</v>
      </c>
      <c r="C10" s="18">
        <f>'C５级比赛'!C10*15</f>
        <v>141.75</v>
      </c>
      <c r="D10" s="16">
        <f>'C５级比赛'!D10*15</f>
        <v>101.25</v>
      </c>
      <c r="E10" s="16">
        <f>'C５级比赛'!E10*15</f>
        <v>70.875</v>
      </c>
      <c r="F10" s="16">
        <f>'C５级比赛'!F10*15</f>
        <v>40.5</v>
      </c>
      <c r="G10" s="16">
        <f>'C５级比赛'!G10*15</f>
        <v>33.75</v>
      </c>
      <c r="H10" s="16">
        <f>'C５级比赛'!H10*15</f>
        <v>28.9285714285714</v>
      </c>
      <c r="I10" s="38">
        <f>'C５级比赛'!I10*15</f>
        <v>619.553571428571</v>
      </c>
      <c r="J10" s="15">
        <f>'C５级比赛'!J10*15</f>
        <v>44.2538265306123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3"/>
      <c r="AR10" s="23"/>
      <c r="AS10" s="23"/>
      <c r="AT10" s="23"/>
      <c r="AU10" s="23"/>
      <c r="AV10" s="23"/>
      <c r="AW10" s="23"/>
      <c r="AX10" s="23"/>
    </row>
    <row r="11" spans="1:50">
      <c r="A11" s="20" t="s">
        <v>49</v>
      </c>
      <c r="B11" s="18">
        <f>'C５级比赛'!B11*15</f>
        <v>232.5</v>
      </c>
      <c r="C11" s="18">
        <f>'C５级比赛'!C11*15</f>
        <v>162.75</v>
      </c>
      <c r="D11" s="16">
        <f>'C５级比赛'!D11*15</f>
        <v>116.25</v>
      </c>
      <c r="E11" s="16">
        <f>'C５级比赛'!E11*15</f>
        <v>81.375</v>
      </c>
      <c r="F11" s="16">
        <f>'C５级比赛'!F11*15</f>
        <v>46.5</v>
      </c>
      <c r="G11" s="16">
        <f>'C５级比赛'!G11*15</f>
        <v>38.75</v>
      </c>
      <c r="H11" s="16">
        <f>'C５级比赛'!H11*15</f>
        <v>33.2142857142857</v>
      </c>
      <c r="I11" s="16">
        <f>'C５级比赛'!I11*15</f>
        <v>29.0625</v>
      </c>
      <c r="J11" s="38">
        <f>'C５级比赛'!J11*15</f>
        <v>740.401785714286</v>
      </c>
      <c r="K11" s="15">
        <f>'C５级比赛'!K11*15</f>
        <v>46.2751116071429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3"/>
      <c r="AR11" s="23"/>
      <c r="AS11" s="23"/>
      <c r="AT11" s="23"/>
      <c r="AU11" s="23"/>
      <c r="AV11" s="23"/>
      <c r="AW11" s="23"/>
      <c r="AX11" s="23"/>
    </row>
    <row r="12" spans="1:50">
      <c r="A12" s="20" t="s">
        <v>50</v>
      </c>
      <c r="B12" s="18">
        <f>'C５级比赛'!B12*15</f>
        <v>255</v>
      </c>
      <c r="C12" s="18">
        <f>'C５级比赛'!C12*15</f>
        <v>178.5</v>
      </c>
      <c r="D12" s="16">
        <f>'C５级比赛'!D12*15</f>
        <v>127.5</v>
      </c>
      <c r="E12" s="16">
        <f>'C５级比赛'!E12*15</f>
        <v>89.25</v>
      </c>
      <c r="F12" s="16">
        <f>'C５级比赛'!F12*15</f>
        <v>51</v>
      </c>
      <c r="G12" s="16">
        <f>'C５级比赛'!G12*15</f>
        <v>42.5</v>
      </c>
      <c r="H12" s="16">
        <f>'C５级比赛'!H12*15</f>
        <v>36.4285714285714</v>
      </c>
      <c r="I12" s="16">
        <f>'C５级比赛'!I12*15</f>
        <v>31.875</v>
      </c>
      <c r="J12" s="16">
        <f>'C５级比赛'!J12*15</f>
        <v>28.3333333333333</v>
      </c>
      <c r="K12" s="38">
        <f>'C５级比赛'!K12*15</f>
        <v>840.386904761905</v>
      </c>
      <c r="L12" s="15">
        <f>'C５级比赛'!L12*15</f>
        <v>46.6881613756614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AR12" s="23"/>
      <c r="AS12" s="23"/>
      <c r="AT12" s="23"/>
      <c r="AU12" s="23"/>
      <c r="AV12" s="23"/>
      <c r="AW12" s="23"/>
      <c r="AX12" s="23"/>
    </row>
    <row r="13" s="3" customFormat="1" spans="1:50">
      <c r="A13" s="21" t="s">
        <v>51</v>
      </c>
      <c r="B13" s="18">
        <f>'C５级比赛'!B13*15</f>
        <v>277.5</v>
      </c>
      <c r="C13" s="18">
        <f>'C５级比赛'!C13*15</f>
        <v>194.25</v>
      </c>
      <c r="D13" s="16">
        <f>'C５级比赛'!D13*15</f>
        <v>138.75</v>
      </c>
      <c r="E13" s="16">
        <f>'C５级比赛'!E13*15</f>
        <v>97.125</v>
      </c>
      <c r="F13" s="16">
        <f>'C５级比赛'!F13*15</f>
        <v>55.5</v>
      </c>
      <c r="G13" s="16">
        <f>'C５级比赛'!G13*15</f>
        <v>46.25</v>
      </c>
      <c r="H13" s="16">
        <f>'C５级比赛'!H13*15</f>
        <v>39.6428571428571</v>
      </c>
      <c r="I13" s="16">
        <f>'C５级比赛'!I13*15</f>
        <v>34.6875</v>
      </c>
      <c r="J13" s="16">
        <f>'C５级比赛'!J13*15</f>
        <v>30.8333333333333</v>
      </c>
      <c r="K13" s="16">
        <f>'C５级比赛'!K13*15</f>
        <v>27.75</v>
      </c>
      <c r="L13" s="38">
        <f>'C５级比赛'!L13*15</f>
        <v>942.288690476191</v>
      </c>
      <c r="M13" s="15">
        <f>'C５级比赛'!M13*15</f>
        <v>47.1144345238095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50">
      <c r="A14" s="20" t="s">
        <v>52</v>
      </c>
      <c r="B14" s="18">
        <f>'C５级比赛'!B14*15</f>
        <v>300</v>
      </c>
      <c r="C14" s="18">
        <f>'C５级比赛'!C14*15</f>
        <v>210</v>
      </c>
      <c r="D14" s="16">
        <f>'C５级比赛'!D14*15</f>
        <v>150</v>
      </c>
      <c r="E14" s="16">
        <f>'C５级比赛'!E14*15</f>
        <v>105</v>
      </c>
      <c r="F14" s="16">
        <f>'C５级比赛'!F14*15</f>
        <v>60</v>
      </c>
      <c r="G14" s="16">
        <f>'C５级比赛'!G14*15</f>
        <v>50</v>
      </c>
      <c r="H14" s="16">
        <f>'C５级比赛'!H14*15</f>
        <v>42.8571428571429</v>
      </c>
      <c r="I14" s="16">
        <f>'C５级比赛'!I14*15</f>
        <v>37.5</v>
      </c>
      <c r="J14" s="16">
        <f>'C５级比赛'!J14*15</f>
        <v>33.3333333333333</v>
      </c>
      <c r="K14" s="16">
        <f>'C５级比赛'!K14*15</f>
        <v>30</v>
      </c>
      <c r="L14" s="16">
        <f>'C５级比赛'!L14*15</f>
        <v>27.2727272727273</v>
      </c>
      <c r="M14" s="38">
        <f>'C５级比赛'!M14*15</f>
        <v>1045.9632034632</v>
      </c>
      <c r="N14" s="15">
        <f>'C５级比赛'!N14*15</f>
        <v>47.5437819756002</v>
      </c>
      <c r="O14" s="16"/>
      <c r="P14" s="16">
        <f>'C５级比赛'!P14*15</f>
        <v>0</v>
      </c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3"/>
      <c r="AR14" s="23"/>
      <c r="AS14" s="23"/>
      <c r="AT14" s="23"/>
      <c r="AU14" s="23"/>
      <c r="AV14" s="23"/>
      <c r="AW14" s="23"/>
      <c r="AX14" s="23"/>
    </row>
    <row r="15" spans="1:50">
      <c r="A15" s="20" t="s">
        <v>53</v>
      </c>
      <c r="B15" s="18">
        <f>'C５级比赛'!B15*15</f>
        <v>322.5</v>
      </c>
      <c r="C15" s="18">
        <f>'C５级比赛'!C15*15</f>
        <v>225.75</v>
      </c>
      <c r="D15" s="16">
        <f>'C５级比赛'!D15*15</f>
        <v>161.25</v>
      </c>
      <c r="E15" s="16">
        <f>'C５级比赛'!E15*15</f>
        <v>112.875</v>
      </c>
      <c r="F15" s="16">
        <f>'C５级比赛'!F15*15</f>
        <v>64.5</v>
      </c>
      <c r="G15" s="16">
        <f>'C５级比赛'!G15*15</f>
        <v>53.75</v>
      </c>
      <c r="H15" s="16">
        <f>'C５级比赛'!H15*15</f>
        <v>46.0714285714286</v>
      </c>
      <c r="I15" s="16">
        <f>'C５级比赛'!I15*15</f>
        <v>40.3125</v>
      </c>
      <c r="J15" s="16">
        <f>'C５级比赛'!J15*15</f>
        <v>35.8333333333333</v>
      </c>
      <c r="K15" s="16">
        <f>'C５级比赛'!K15*15</f>
        <v>32.25</v>
      </c>
      <c r="L15" s="16">
        <f>'C５级比赛'!L15*15</f>
        <v>29.3181818181818</v>
      </c>
      <c r="M15" s="16">
        <f>'C５级比赛'!M15*15</f>
        <v>26.875</v>
      </c>
      <c r="N15" s="38">
        <f>'C５级比赛'!N15*15</f>
        <v>1151.28544372294</v>
      </c>
      <c r="O15" s="15">
        <f>'C５级比赛'!O15*15</f>
        <v>47.9702268217893</v>
      </c>
      <c r="P15" s="16">
        <f>'C５级比赛'!P15*15</f>
        <v>0</v>
      </c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AR15" s="23"/>
      <c r="AS15" s="23"/>
      <c r="AT15" s="23"/>
      <c r="AU15" s="23"/>
      <c r="AV15" s="23"/>
      <c r="AW15" s="23"/>
      <c r="AX15" s="23"/>
    </row>
    <row r="16" spans="1:50">
      <c r="A16" s="20" t="s">
        <v>54</v>
      </c>
      <c r="B16" s="18">
        <f>'C５级比赛'!B16*15</f>
        <v>342</v>
      </c>
      <c r="C16" s="18">
        <f>'C５级比赛'!C16*15</f>
        <v>239.4</v>
      </c>
      <c r="D16" s="16">
        <f>'C５级比赛'!D16*15</f>
        <v>171</v>
      </c>
      <c r="E16" s="16">
        <f>'C５级比赛'!E16*15</f>
        <v>119.7</v>
      </c>
      <c r="F16" s="16">
        <f>'C５级比赛'!F16*15</f>
        <v>68.4</v>
      </c>
      <c r="G16" s="16">
        <f>'C５级比赛'!G16*15</f>
        <v>57</v>
      </c>
      <c r="H16" s="16">
        <f>'C５级比赛'!H16*15</f>
        <v>48.8571428571429</v>
      </c>
      <c r="I16" s="16">
        <f>'C５级比赛'!I16*15</f>
        <v>42.75</v>
      </c>
      <c r="J16" s="16">
        <f>'C５级比赛'!J16*15</f>
        <v>38</v>
      </c>
      <c r="K16" s="16">
        <f>'C５级比赛'!K16*15</f>
        <v>34.2</v>
      </c>
      <c r="L16" s="16">
        <f>'C５级比赛'!L16*15</f>
        <v>31.0909090909091</v>
      </c>
      <c r="M16" s="16">
        <f>'C５级比赛'!M16*15</f>
        <v>28.5</v>
      </c>
      <c r="N16" s="16">
        <f>'C５级比赛'!N16*15</f>
        <v>26.3076923076923</v>
      </c>
      <c r="O16" s="38">
        <f>'C５级比赛'!O16*15</f>
        <v>1247.20574425574</v>
      </c>
      <c r="P16" s="15">
        <f>'C５级比赛'!P16*15</f>
        <v>47.969451702144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3"/>
      <c r="AR16" s="23"/>
      <c r="AS16" s="23"/>
      <c r="AT16" s="23"/>
      <c r="AU16" s="23"/>
      <c r="AV16" s="23"/>
      <c r="AW16" s="23"/>
      <c r="AX16" s="23"/>
    </row>
    <row r="17" spans="1:50">
      <c r="A17" s="20" t="s">
        <v>55</v>
      </c>
      <c r="B17" s="18">
        <f>'C５级比赛'!B17*15</f>
        <v>366</v>
      </c>
      <c r="C17" s="18">
        <f>'C５级比赛'!C17*15</f>
        <v>256.2</v>
      </c>
      <c r="D17" s="16">
        <f>'C５级比赛'!D17*15</f>
        <v>183</v>
      </c>
      <c r="E17" s="16">
        <f>'C５级比赛'!E17*15</f>
        <v>128.1</v>
      </c>
      <c r="F17" s="16">
        <f>'C５级比赛'!F17*15</f>
        <v>73.2</v>
      </c>
      <c r="G17" s="16">
        <f>'C５级比赛'!G17*15</f>
        <v>61</v>
      </c>
      <c r="H17" s="16">
        <f>'C５级比赛'!H17*15</f>
        <v>52.2857142857143</v>
      </c>
      <c r="I17" s="16">
        <f>'C５级比赛'!I17*15</f>
        <v>45.75</v>
      </c>
      <c r="J17" s="16">
        <f>'C５级比赛'!J17*15</f>
        <v>40.6666666666667</v>
      </c>
      <c r="K17" s="16">
        <f>'C５级比赛'!K17*15</f>
        <v>36.6</v>
      </c>
      <c r="L17" s="16">
        <f>'C５级比赛'!L17*15</f>
        <v>33.2727272727273</v>
      </c>
      <c r="M17" s="16">
        <f>'C５级比赛'!M17*15</f>
        <v>30.5</v>
      </c>
      <c r="N17" s="16">
        <f>'C５级比赛'!N17*15</f>
        <v>28.1538461538462</v>
      </c>
      <c r="O17" s="16">
        <f>'C５级比赛'!O17*15</f>
        <v>26.1428571428571</v>
      </c>
      <c r="P17" s="38">
        <f>'C５级比赛'!P17*15</f>
        <v>1360.87181152181</v>
      </c>
      <c r="Q17" s="15">
        <f>'C５级比赛'!Q17*15</f>
        <v>48.6025646972075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3"/>
      <c r="AR17" s="23"/>
      <c r="AS17" s="23"/>
      <c r="AT17" s="23"/>
      <c r="AU17" s="23"/>
      <c r="AV17" s="23"/>
      <c r="AW17" s="23"/>
      <c r="AX17" s="23"/>
    </row>
    <row r="18" spans="1:50">
      <c r="A18" s="20" t="s">
        <v>56</v>
      </c>
      <c r="B18" s="18">
        <f>'C５级比赛'!B18*15</f>
        <v>390</v>
      </c>
      <c r="C18" s="18">
        <f>'C５级比赛'!C18*15</f>
        <v>273</v>
      </c>
      <c r="D18" s="16">
        <f>'C５级比赛'!D18*15</f>
        <v>195</v>
      </c>
      <c r="E18" s="16">
        <f>'C５级比赛'!E18*15</f>
        <v>136.5</v>
      </c>
      <c r="F18" s="16">
        <f>'C５级比赛'!F18*15</f>
        <v>78</v>
      </c>
      <c r="G18" s="16">
        <f>'C５级比赛'!G18*15</f>
        <v>65</v>
      </c>
      <c r="H18" s="16">
        <f>'C５级比赛'!H18*15</f>
        <v>55.7142857142857</v>
      </c>
      <c r="I18" s="16">
        <f>'C５级比赛'!I18*15</f>
        <v>48.75</v>
      </c>
      <c r="J18" s="16">
        <f>'C５级比赛'!J18*15</f>
        <v>43.3333333333333</v>
      </c>
      <c r="K18" s="16">
        <f>'C５级比赛'!K18*15</f>
        <v>39</v>
      </c>
      <c r="L18" s="16">
        <f>'C５级比赛'!L18*15</f>
        <v>35.4545454545455</v>
      </c>
      <c r="M18" s="16">
        <f>'C５级比赛'!M18*15</f>
        <v>32.5</v>
      </c>
      <c r="N18" s="16">
        <f>'C５级比赛'!N18*15</f>
        <v>30</v>
      </c>
      <c r="O18" s="16">
        <f>'C５级比赛'!O18*15</f>
        <v>27.8571428571429</v>
      </c>
      <c r="P18" s="16">
        <f>'C５级比赛'!P18*15</f>
        <v>26</v>
      </c>
      <c r="Q18" s="38">
        <f>'C５级比赛'!Q18*15</f>
        <v>1476.10930735931</v>
      </c>
      <c r="R18" s="15">
        <f>'C５级比赛'!R18*15</f>
        <v>49.2036435786436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AR18" s="23"/>
      <c r="AS18" s="23"/>
      <c r="AT18" s="23"/>
      <c r="AU18" s="23"/>
      <c r="AV18" s="23"/>
      <c r="AW18" s="23"/>
      <c r="AX18" s="23"/>
    </row>
    <row r="19" spans="1:51">
      <c r="A19" s="20" t="s">
        <v>57</v>
      </c>
      <c r="B19" s="18">
        <f>'C５级比赛'!B19*15</f>
        <v>442.5</v>
      </c>
      <c r="C19" s="18">
        <f>'C５级比赛'!C19*15</f>
        <v>309.75</v>
      </c>
      <c r="D19" s="16">
        <f>'C５级比赛'!D19*15</f>
        <v>221.25</v>
      </c>
      <c r="E19" s="16">
        <f>'C５级比赛'!E19*15</f>
        <v>154.875</v>
      </c>
      <c r="F19" s="16">
        <f>'C５级比赛'!F19*15</f>
        <v>88.5</v>
      </c>
      <c r="G19" s="16">
        <f>'C５级比赛'!G19*15</f>
        <v>73.75</v>
      </c>
      <c r="H19" s="16">
        <f>'C５级比赛'!H19*15</f>
        <v>63.2142857142857</v>
      </c>
      <c r="I19" s="16">
        <f>'C５级比赛'!I19*15</f>
        <v>55.3125</v>
      </c>
      <c r="J19" s="16">
        <f>'C５级比赛'!J19*15</f>
        <v>49.1666666666667</v>
      </c>
      <c r="K19" s="16">
        <f>'C５级比赛'!K19*15</f>
        <v>44.25</v>
      </c>
      <c r="L19" s="16">
        <f>'C５级比赛'!L19*15</f>
        <v>40.2272727272727</v>
      </c>
      <c r="M19" s="16">
        <f>'C５级比赛'!M19*15</f>
        <v>36.875</v>
      </c>
      <c r="N19" s="16">
        <f>'C５级比赛'!N19*15</f>
        <v>34.0384615384615</v>
      </c>
      <c r="O19" s="16">
        <f>'C５级比赛'!O19*15</f>
        <v>31.6071428571429</v>
      </c>
      <c r="P19" s="16">
        <f>'C５级比赛'!P19*15</f>
        <v>29.5</v>
      </c>
      <c r="Q19" s="16">
        <f>'C５级比赛'!Q19*15</f>
        <v>27.65625</v>
      </c>
      <c r="R19" s="38">
        <f>'C５级比赛'!R19*15</f>
        <v>1730.12882950383</v>
      </c>
      <c r="S19" s="15">
        <f>'C５级比赛'!S19*15</f>
        <v>49.432252271538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3"/>
      <c r="AR19" s="23"/>
      <c r="AS19" s="23"/>
      <c r="AT19" s="23"/>
      <c r="AU19" s="23"/>
      <c r="AV19" s="23"/>
      <c r="AW19" s="23"/>
      <c r="AX19" s="23"/>
      <c r="AY19" s="42"/>
    </row>
    <row r="20" spans="1:50">
      <c r="A20" s="20" t="s">
        <v>58</v>
      </c>
      <c r="B20" s="18">
        <f>'C５级比赛'!B20*15</f>
        <v>502.5</v>
      </c>
      <c r="C20" s="18">
        <f>'C５级比赛'!C20*15</f>
        <v>351.75</v>
      </c>
      <c r="D20" s="16">
        <f>'C５级比赛'!D20*15</f>
        <v>251.25</v>
      </c>
      <c r="E20" s="16">
        <f>'C５级比赛'!E20*15</f>
        <v>175.875</v>
      </c>
      <c r="F20" s="16">
        <f>'C５级比赛'!F20*15</f>
        <v>100.5</v>
      </c>
      <c r="G20" s="16">
        <f>'C５级比赛'!G20*15</f>
        <v>83.75</v>
      </c>
      <c r="H20" s="16">
        <f>'C５级比赛'!H20*15</f>
        <v>71.7857142857143</v>
      </c>
      <c r="I20" s="16">
        <f>'C５级比赛'!I20*15</f>
        <v>62.8125</v>
      </c>
      <c r="J20" s="16">
        <f>'C５级比赛'!J20*15</f>
        <v>55.8333333333333</v>
      </c>
      <c r="K20" s="16">
        <f>'C５级比赛'!K20*15</f>
        <v>50.25</v>
      </c>
      <c r="L20" s="16">
        <f>'C５级比赛'!L20*15</f>
        <v>45.6818181818182</v>
      </c>
      <c r="M20" s="16">
        <f>'C５级比赛'!M20*15</f>
        <v>41.875</v>
      </c>
      <c r="N20" s="16">
        <f>'C５级比赛'!N20*15</f>
        <v>38.6538461538462</v>
      </c>
      <c r="O20" s="16">
        <f>'C５级比赛'!O20*15</f>
        <v>35.8928571428571</v>
      </c>
      <c r="P20" s="16">
        <f>'C５级比赛'!P20*15</f>
        <v>33.5</v>
      </c>
      <c r="Q20" s="16">
        <f>'C５级比赛'!Q20*15</f>
        <v>31.40625</v>
      </c>
      <c r="R20" s="16">
        <f>'C５级比赛'!R20*15</f>
        <v>27.9166666666667</v>
      </c>
      <c r="S20" s="38">
        <f>'C５级比赛'!S20*15</f>
        <v>2048.47256909757</v>
      </c>
      <c r="T20" s="15">
        <f>'C５级比赛'!T20*15</f>
        <v>49.9627455877456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3"/>
      <c r="AR20" s="23"/>
      <c r="AS20" s="23"/>
      <c r="AT20" s="23"/>
      <c r="AU20" s="23"/>
      <c r="AV20" s="23"/>
      <c r="AW20" s="23"/>
      <c r="AX20" s="23"/>
    </row>
    <row r="21" spans="1:50">
      <c r="A21" s="20" t="s">
        <v>59</v>
      </c>
      <c r="B21" s="18">
        <f>'C５级比赛'!B21*15</f>
        <v>589.5</v>
      </c>
      <c r="C21" s="18">
        <f>'C５级比赛'!C21*15</f>
        <v>414</v>
      </c>
      <c r="D21" s="16">
        <f>'C５级比赛'!D21*15</f>
        <v>294.75</v>
      </c>
      <c r="E21" s="16">
        <f>'C５级比赛'!E21*15</f>
        <v>206.325</v>
      </c>
      <c r="F21" s="16">
        <f>'C５级比赛'!F21*15</f>
        <v>117.9</v>
      </c>
      <c r="G21" s="16">
        <f>'C５级比赛'!G21*15</f>
        <v>98.25</v>
      </c>
      <c r="H21" s="16">
        <f>'C５级比赛'!H21*15</f>
        <v>84.2142857142857</v>
      </c>
      <c r="I21" s="16">
        <f>'C５级比赛'!I21*15</f>
        <v>73.6875</v>
      </c>
      <c r="J21" s="16">
        <f>'C５级比赛'!J21*15</f>
        <v>65.5</v>
      </c>
      <c r="K21" s="16">
        <f>'C５级比赛'!K21*15</f>
        <v>58.95</v>
      </c>
      <c r="L21" s="16">
        <f>'C５级比赛'!L21*15</f>
        <v>53.5909090909091</v>
      </c>
      <c r="M21" s="16">
        <f>'C５级比赛'!M21*15</f>
        <v>49.125</v>
      </c>
      <c r="N21" s="16">
        <f>'C５级比赛'!N21*15</f>
        <v>45.3461538461538</v>
      </c>
      <c r="O21" s="16">
        <f>'C５级比赛'!O21*15</f>
        <v>42.1071428571429</v>
      </c>
      <c r="P21" s="16">
        <f>'C５级比赛'!P21*15</f>
        <v>39.3</v>
      </c>
      <c r="Q21" s="16">
        <f>'C５级比赛'!Q21*15</f>
        <v>36.84375</v>
      </c>
      <c r="R21" s="16">
        <f>'C５级比赛'!R21*15</f>
        <v>32.75</v>
      </c>
      <c r="S21" s="16">
        <f>'C５级比赛'!S21*15</f>
        <v>29.475</v>
      </c>
      <c r="T21" s="38">
        <f>'C５级比赛'!T21*15</f>
        <v>2551.85849150849</v>
      </c>
      <c r="U21" s="15">
        <f>'C５级比赛'!U21*15</f>
        <v>50.0364410099704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AR21" s="23"/>
      <c r="AS21" s="23"/>
      <c r="AT21" s="23"/>
      <c r="AU21" s="23"/>
      <c r="AV21" s="23"/>
      <c r="AW21" s="23"/>
      <c r="AX21" s="23"/>
    </row>
    <row r="22" spans="1:50">
      <c r="A22" s="17" t="s">
        <v>60</v>
      </c>
      <c r="B22" s="18">
        <f>'C５级比赛'!B22*15</f>
        <v>678</v>
      </c>
      <c r="C22" s="18">
        <f>'C５级比赛'!C22*15</f>
        <v>474.6</v>
      </c>
      <c r="D22" s="16">
        <f>'C５级比赛'!D22*15</f>
        <v>339</v>
      </c>
      <c r="E22" s="16">
        <f>'C５级比赛'!E22*15</f>
        <v>237.3</v>
      </c>
      <c r="F22" s="16">
        <f>'C５级比赛'!F22*15</f>
        <v>135.6</v>
      </c>
      <c r="G22" s="16">
        <f>'C５级比赛'!G22*15</f>
        <v>113</v>
      </c>
      <c r="H22" s="16">
        <f>'C５级比赛'!H22*15</f>
        <v>96.8571428571429</v>
      </c>
      <c r="I22" s="16">
        <f>'C５级比赛'!I22*15</f>
        <v>84.75</v>
      </c>
      <c r="J22" s="16">
        <f>'C５级比赛'!J22*15</f>
        <v>75.3333333333333</v>
      </c>
      <c r="K22" s="16">
        <f>'C５级比赛'!K22*15</f>
        <v>67.8</v>
      </c>
      <c r="L22" s="16">
        <f>'C５级比赛'!L22*15</f>
        <v>61.6363636363636</v>
      </c>
      <c r="M22" s="16">
        <f>'C５级比赛'!M22*15</f>
        <v>56.5</v>
      </c>
      <c r="N22" s="16">
        <f>'C５级比赛'!N22*15</f>
        <v>52.1538461538462</v>
      </c>
      <c r="O22" s="16">
        <f>'C５级比赛'!O22*15</f>
        <v>48.4285714285714</v>
      </c>
      <c r="P22" s="16">
        <f>'C５级比赛'!P22*15</f>
        <v>45.2</v>
      </c>
      <c r="Q22" s="16">
        <f>'C５级比赛'!Q22*15</f>
        <v>42.375</v>
      </c>
      <c r="R22" s="16">
        <f>'C５级比赛'!R22*15</f>
        <v>37.6666666666667</v>
      </c>
      <c r="S22" s="16">
        <f>'C５级比赛'!S22*15</f>
        <v>33.9</v>
      </c>
      <c r="T22" s="16">
        <f>'C５级比赛'!T22*15</f>
        <v>26.0769230769231</v>
      </c>
      <c r="U22" s="38">
        <f>'C５级比赛'!U22*15</f>
        <v>3063.79387279387</v>
      </c>
      <c r="V22" s="15">
        <f>'C５级比赛'!V22*15</f>
        <v>50.2261290621947</v>
      </c>
      <c r="W22" s="18"/>
      <c r="X22" s="18">
        <f>'C５级比赛'!X22*15</f>
        <v>0</v>
      </c>
      <c r="Y22" s="18">
        <f>'C５级比赛'!Y22*15</f>
        <v>0</v>
      </c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AR22" s="23"/>
      <c r="AS22" s="23"/>
      <c r="AT22" s="23"/>
      <c r="AU22" s="23"/>
      <c r="AV22" s="23"/>
      <c r="AW22" s="23"/>
      <c r="AX22" s="23"/>
    </row>
    <row r="23" spans="1:121">
      <c r="A23" s="17" t="s">
        <v>61</v>
      </c>
      <c r="B23" s="18">
        <f>'C５级比赛'!B23*15</f>
        <v>840</v>
      </c>
      <c r="C23" s="18">
        <f>'C５级比赛'!C23*15</f>
        <v>588</v>
      </c>
      <c r="D23" s="16">
        <f>'C５级比赛'!D23*15</f>
        <v>420</v>
      </c>
      <c r="E23" s="16">
        <f>'C５级比赛'!E23*15</f>
        <v>294</v>
      </c>
      <c r="F23" s="16">
        <f>'C５级比赛'!F23*15</f>
        <v>168</v>
      </c>
      <c r="G23" s="16">
        <f>'C５级比赛'!G23*15</f>
        <v>140</v>
      </c>
      <c r="H23" s="16">
        <f>'C５级比赛'!H23*15</f>
        <v>120</v>
      </c>
      <c r="I23" s="16">
        <f>'C５级比赛'!I23*15</f>
        <v>105</v>
      </c>
      <c r="J23" s="16">
        <f>'C５级比赛'!J23*15</f>
        <v>93.3333333333333</v>
      </c>
      <c r="K23" s="16">
        <f>'C５级比赛'!K23*15</f>
        <v>84</v>
      </c>
      <c r="L23" s="16">
        <f>'C５级比赛'!L23*15</f>
        <v>76.3636363636364</v>
      </c>
      <c r="M23" s="16">
        <f>'C５级比赛'!M23*15</f>
        <v>70</v>
      </c>
      <c r="N23" s="16">
        <f>'C５级比赛'!N23*15</f>
        <v>64.6153846153846</v>
      </c>
      <c r="O23" s="16">
        <f>'C５级比赛'!O23*15</f>
        <v>60</v>
      </c>
      <c r="P23" s="16">
        <f>'C５级比赛'!P23*15</f>
        <v>56</v>
      </c>
      <c r="Q23" s="16">
        <f>'C５级比赛'!Q23*15</f>
        <v>52.5</v>
      </c>
      <c r="R23" s="16">
        <f>'C５级比赛'!R23*15</f>
        <v>46.6666666666667</v>
      </c>
      <c r="S23" s="16">
        <f>'C５级比赛'!S23*15</f>
        <v>42</v>
      </c>
      <c r="T23" s="16">
        <f>'C５级比赛'!T23*15</f>
        <v>32.3076923076923</v>
      </c>
      <c r="U23" s="16">
        <f>'C５级比赛'!U23*15</f>
        <v>28</v>
      </c>
      <c r="V23" s="38">
        <f>'C５级比赛'!V23*15</f>
        <v>4075.85081585082</v>
      </c>
      <c r="W23" s="15">
        <f>'C５级比赛'!W23*15</f>
        <v>50.3191458747014</v>
      </c>
      <c r="X23" s="18"/>
      <c r="Y23" s="16"/>
      <c r="Z23" s="16"/>
      <c r="AA23" s="16"/>
      <c r="AB23" s="16"/>
      <c r="AC23" s="16"/>
      <c r="AD23" s="16"/>
      <c r="AE23" s="16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</row>
    <row r="24" s="37" customFormat="1" spans="1:121">
      <c r="A24" s="19" t="s">
        <v>62</v>
      </c>
      <c r="B24" s="13">
        <f>'C５级比赛'!B24*15</f>
        <v>1035</v>
      </c>
      <c r="C24" s="13">
        <f>'C５级比赛'!C24*15</f>
        <v>724.5</v>
      </c>
      <c r="D24" s="13">
        <f>'C５级比赛'!D24*15</f>
        <v>517.5</v>
      </c>
      <c r="E24" s="13">
        <f>'C５级比赛'!E24*15</f>
        <v>362.25</v>
      </c>
      <c r="F24" s="13">
        <f>'C５级比赛'!F24*15</f>
        <v>207</v>
      </c>
      <c r="G24" s="13">
        <f>'C５级比赛'!G24*15</f>
        <v>172.5</v>
      </c>
      <c r="H24" s="13">
        <f>'C５级比赛'!H24*15</f>
        <v>147.857142857143</v>
      </c>
      <c r="I24" s="13">
        <f>'C５级比赛'!I24*15</f>
        <v>129.375</v>
      </c>
      <c r="J24" s="13">
        <f>'C５级比赛'!J24*15</f>
        <v>115</v>
      </c>
      <c r="K24" s="13">
        <f>'C５级比赛'!K24*15</f>
        <v>103.5</v>
      </c>
      <c r="L24" s="13">
        <f>'C５级比赛'!L24*15</f>
        <v>94.0909090909091</v>
      </c>
      <c r="M24" s="13">
        <f>'C５级比赛'!M24*15</f>
        <v>86.25</v>
      </c>
      <c r="N24" s="13">
        <f>'C５级比赛'!N24*15</f>
        <v>79.6153846153846</v>
      </c>
      <c r="O24" s="13">
        <f>'C５级比赛'!O24*15</f>
        <v>73.9285714285714</v>
      </c>
      <c r="P24" s="13">
        <f>'C５级比赛'!P24*15</f>
        <v>69</v>
      </c>
      <c r="Q24" s="13">
        <f>'C５级比赛'!Q24*15</f>
        <v>64.6875</v>
      </c>
      <c r="R24" s="13">
        <f>'C５级比赛'!R24*15</f>
        <v>57.5</v>
      </c>
      <c r="S24" s="13">
        <f>'C５级比赛'!S24*15</f>
        <v>51.75</v>
      </c>
      <c r="T24" s="13">
        <f>'C５级比赛'!T24*15</f>
        <v>39.8076923076923</v>
      </c>
      <c r="U24" s="13">
        <f>'C５级比赛'!U24*15</f>
        <v>34.5</v>
      </c>
      <c r="V24" s="13">
        <f>'C５级比赛'!V24*15</f>
        <v>25.2439024390244</v>
      </c>
      <c r="W24" s="38">
        <f>'C５级比赛'!W24*15</f>
        <v>5274.46949392071</v>
      </c>
      <c r="X24" s="15">
        <f>'C５级比赛'!X24*15</f>
        <v>52.2224702368388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31"/>
      <c r="AR24" s="31"/>
      <c r="AS24" s="31"/>
      <c r="AT24" s="31"/>
      <c r="AU24" s="31"/>
      <c r="AV24" s="31"/>
      <c r="AW24" s="31"/>
      <c r="AX24" s="31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</row>
    <row r="25" spans="1:50">
      <c r="A25" s="22" t="s">
        <v>63</v>
      </c>
      <c r="B25" s="16">
        <f>'C５级比赛'!B25*15</f>
        <v>1194</v>
      </c>
      <c r="C25" s="16">
        <f>'C５级比赛'!C25*15</f>
        <v>835.8</v>
      </c>
      <c r="D25" s="16">
        <f>'C５级比赛'!D25*15</f>
        <v>597</v>
      </c>
      <c r="E25" s="16">
        <f>'C５级比赛'!E25*15</f>
        <v>417.9</v>
      </c>
      <c r="F25" s="16">
        <f>'C５级比赛'!F25*15</f>
        <v>238.8</v>
      </c>
      <c r="G25" s="16">
        <f>'C５级比赛'!G25*15</f>
        <v>199</v>
      </c>
      <c r="H25" s="16">
        <f>'C５级比赛'!H25*15</f>
        <v>170.571428571429</v>
      </c>
      <c r="I25" s="16">
        <f>'C５级比赛'!I25*15</f>
        <v>149.25</v>
      </c>
      <c r="J25" s="16">
        <f>'C５级比赛'!J25*15</f>
        <v>132.666666666667</v>
      </c>
      <c r="K25" s="16">
        <f>'C５级比赛'!K25*15</f>
        <v>119.4</v>
      </c>
      <c r="L25" s="16">
        <f>'C５级比赛'!L25*15</f>
        <v>108.545454545455</v>
      </c>
      <c r="M25" s="16">
        <f>'C５级比赛'!M25*15</f>
        <v>99.5</v>
      </c>
      <c r="N25" s="16">
        <f>'C５级比赛'!N25*15</f>
        <v>91.8461538461538</v>
      </c>
      <c r="O25" s="16">
        <f>'C５级比赛'!O25*15</f>
        <v>85.2857142857143</v>
      </c>
      <c r="P25" s="16">
        <f>'C５级比赛'!P25*15</f>
        <v>79.6</v>
      </c>
      <c r="Q25" s="16">
        <f>'C５级比赛'!Q25*15</f>
        <v>74.625</v>
      </c>
      <c r="R25" s="16">
        <f>'C５级比赛'!R25*15</f>
        <v>66.3333333333333</v>
      </c>
      <c r="S25" s="16">
        <f>'C５级比赛'!S25*15</f>
        <v>59.7</v>
      </c>
      <c r="T25" s="16">
        <f>'C５级比赛'!T25*15</f>
        <v>45.9230769230769</v>
      </c>
      <c r="U25" s="16">
        <f>'C５级比赛'!U25*15</f>
        <v>39.8</v>
      </c>
      <c r="V25" s="16">
        <f>'C５级比赛'!V25*15</f>
        <v>29.1219512195122</v>
      </c>
      <c r="W25" s="16">
        <f>'C５级比赛'!W25*15</f>
        <v>23.4117647058823</v>
      </c>
      <c r="X25" s="38">
        <f>'C５级比赛'!X25*15</f>
        <v>6318.86796178475</v>
      </c>
      <c r="Y25" s="15">
        <f>'C５级比赛'!Y25*15</f>
        <v>52.2220492709483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3"/>
      <c r="AR25" s="23"/>
      <c r="AS25" s="23"/>
      <c r="AT25" s="23"/>
      <c r="AU25" s="23"/>
      <c r="AV25" s="23"/>
      <c r="AW25" s="23"/>
      <c r="AX25" s="23"/>
    </row>
    <row r="26" spans="1:50">
      <c r="A26" s="22" t="s">
        <v>64</v>
      </c>
      <c r="B26" s="16">
        <f>'C５级比赛'!B26*15</f>
        <v>1350</v>
      </c>
      <c r="C26" s="16">
        <f>'C５级比赛'!C26*15</f>
        <v>945</v>
      </c>
      <c r="D26" s="16">
        <f>'C５级比赛'!D26*15</f>
        <v>675</v>
      </c>
      <c r="E26" s="16">
        <f>'C５级比赛'!E26*15</f>
        <v>472.5</v>
      </c>
      <c r="F26" s="16">
        <f>'C５级比赛'!F26*15</f>
        <v>270</v>
      </c>
      <c r="G26" s="16">
        <f>'C５级比赛'!G26*15</f>
        <v>225</v>
      </c>
      <c r="H26" s="16">
        <f>'C５级比赛'!H26*15</f>
        <v>192.857142857143</v>
      </c>
      <c r="I26" s="16">
        <f>'C５级比赛'!I26*15</f>
        <v>168.75</v>
      </c>
      <c r="J26" s="16">
        <f>'C５级比赛'!J26*15</f>
        <v>150</v>
      </c>
      <c r="K26" s="16">
        <f>'C５级比赛'!K26*15</f>
        <v>135</v>
      </c>
      <c r="L26" s="16">
        <f>'C５级比赛'!L26*15</f>
        <v>122.727272727273</v>
      </c>
      <c r="M26" s="16">
        <f>'C５级比赛'!M26*15</f>
        <v>112.5</v>
      </c>
      <c r="N26" s="16">
        <f>'C５级比赛'!N26*15</f>
        <v>103.846153846154</v>
      </c>
      <c r="O26" s="16">
        <f>'C５级比赛'!O26*15</f>
        <v>96.4285714285714</v>
      </c>
      <c r="P26" s="16">
        <f>'C５级比赛'!P26*15</f>
        <v>90</v>
      </c>
      <c r="Q26" s="16">
        <f>'C５级比赛'!Q26*15</f>
        <v>84.375</v>
      </c>
      <c r="R26" s="16">
        <f>'C５级比赛'!R26*15</f>
        <v>75</v>
      </c>
      <c r="S26" s="16">
        <f>'C５级比赛'!S26*15</f>
        <v>67.5</v>
      </c>
      <c r="T26" s="16">
        <f>'C５级比赛'!T26*15</f>
        <v>51.9230769230769</v>
      </c>
      <c r="U26" s="16">
        <f>'C５级比赛'!U26*15</f>
        <v>45</v>
      </c>
      <c r="V26" s="16">
        <f>'C５级比赛'!V26*15</f>
        <v>32.9268292682927</v>
      </c>
      <c r="W26" s="16">
        <f>'C５级比赛'!W26*15</f>
        <v>26.4705882352941</v>
      </c>
      <c r="X26" s="16">
        <f>'C５级比赛'!X26*15</f>
        <v>22.1311475409836</v>
      </c>
      <c r="Y26" s="38">
        <f>'C５级比赛'!Y26*15</f>
        <v>7365.76017592023</v>
      </c>
      <c r="Z26" s="15">
        <f>'C５级比赛'!Z26*15</f>
        <v>52.2394338717747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3"/>
      <c r="AR26" s="23"/>
      <c r="AS26" s="23"/>
      <c r="AT26" s="23"/>
      <c r="AU26" s="23"/>
      <c r="AV26" s="23"/>
      <c r="AW26" s="23"/>
      <c r="AX26" s="23"/>
    </row>
    <row r="27" spans="1:121">
      <c r="A27" s="22" t="s">
        <v>65</v>
      </c>
      <c r="B27" s="16">
        <f>'C５级比赛'!B27*15</f>
        <v>1503</v>
      </c>
      <c r="C27" s="16">
        <f>'C５级比赛'!C27*15</f>
        <v>1052.1</v>
      </c>
      <c r="D27" s="16">
        <f>'C５级比赛'!D27*15</f>
        <v>751.5</v>
      </c>
      <c r="E27" s="16">
        <f>'C５级比赛'!E27*15</f>
        <v>526.05</v>
      </c>
      <c r="F27" s="16">
        <f>'C５级比赛'!F27*15</f>
        <v>300.6</v>
      </c>
      <c r="G27" s="16">
        <f>'C５级比赛'!G27*15</f>
        <v>250.5</v>
      </c>
      <c r="H27" s="16">
        <f>'C５级比赛'!H27*15</f>
        <v>214.714285714286</v>
      </c>
      <c r="I27" s="16">
        <f>'C５级比赛'!I27*15</f>
        <v>187.875</v>
      </c>
      <c r="J27" s="16">
        <f>'C５级比赛'!J27*15</f>
        <v>167</v>
      </c>
      <c r="K27" s="16">
        <f>'C５级比赛'!K27*15</f>
        <v>150.3</v>
      </c>
      <c r="L27" s="16">
        <f>'C５级比赛'!L27*15</f>
        <v>136.636363636364</v>
      </c>
      <c r="M27" s="16">
        <f>'C５级比赛'!M27*15</f>
        <v>125.25</v>
      </c>
      <c r="N27" s="16">
        <f>'C５级比赛'!N27*15</f>
        <v>115.615384615385</v>
      </c>
      <c r="O27" s="16">
        <f>'C５级比赛'!O27*15</f>
        <v>107.357142857143</v>
      </c>
      <c r="P27" s="16">
        <f>'C５级比赛'!P27*15</f>
        <v>100.2</v>
      </c>
      <c r="Q27" s="16">
        <f>'C５级比赛'!Q27*15</f>
        <v>93.9375</v>
      </c>
      <c r="R27" s="16">
        <f>'C５级比赛'!R27*15</f>
        <v>83.5</v>
      </c>
      <c r="S27" s="16">
        <f>'C５级比赛'!S27*15</f>
        <v>75.15</v>
      </c>
      <c r="T27" s="16">
        <f>'C５级比赛'!T27*15</f>
        <v>57.8076923076923</v>
      </c>
      <c r="U27" s="16">
        <f>'C５级比赛'!U27*15</f>
        <v>50.1</v>
      </c>
      <c r="V27" s="16">
        <f>'C５级比赛'!V27*15</f>
        <v>36.6585365853659</v>
      </c>
      <c r="W27" s="16">
        <f>'C５级比赛'!W27*15</f>
        <v>29.4705882352941</v>
      </c>
      <c r="X27" s="16">
        <f>'C５级比赛'!X27*15</f>
        <v>24.6393442622951</v>
      </c>
      <c r="Y27" s="16">
        <f>'C５级比赛'!Y27*15</f>
        <v>21.169014084507</v>
      </c>
      <c r="Z27" s="38">
        <f>'C５级比赛'!Z27*15</f>
        <v>8412.23647003626</v>
      </c>
      <c r="AA27" s="15">
        <f>'C５级比赛'!AA27*15</f>
        <v>52.2499159629581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</row>
    <row r="28" spans="1:121">
      <c r="A28" s="22" t="s">
        <v>66</v>
      </c>
      <c r="B28" s="16">
        <f>'C５级比赛'!B28*15</f>
        <v>1653</v>
      </c>
      <c r="C28" s="16">
        <f>'C５级比赛'!C28*15</f>
        <v>1157.1</v>
      </c>
      <c r="D28" s="16">
        <f>'C５级比赛'!D28*15</f>
        <v>826.5</v>
      </c>
      <c r="E28" s="16">
        <f>'C５级比赛'!E28*15</f>
        <v>578.55</v>
      </c>
      <c r="F28" s="16">
        <f>'C５级比赛'!F28*15</f>
        <v>330.6</v>
      </c>
      <c r="G28" s="16">
        <f>'C５级比赛'!G28*15</f>
        <v>275.5</v>
      </c>
      <c r="H28" s="16">
        <f>'C５级比赛'!H28*15</f>
        <v>236.142857142857</v>
      </c>
      <c r="I28" s="16">
        <f>'C５级比赛'!I28*15</f>
        <v>206.625</v>
      </c>
      <c r="J28" s="16">
        <f>'C５级比赛'!J28*15</f>
        <v>183.666666666667</v>
      </c>
      <c r="K28" s="16">
        <f>'C５级比赛'!K28*15</f>
        <v>165.3</v>
      </c>
      <c r="L28" s="16">
        <f>'C５级比赛'!L28*15</f>
        <v>150.272727272727</v>
      </c>
      <c r="M28" s="16">
        <f>'C５级比赛'!M28*15</f>
        <v>137.75</v>
      </c>
      <c r="N28" s="16">
        <f>'C５级比赛'!N28*15</f>
        <v>127.153846153846</v>
      </c>
      <c r="O28" s="16">
        <f>'C５级比赛'!O28*15</f>
        <v>118.071428571429</v>
      </c>
      <c r="P28" s="16">
        <f>'C５级比赛'!P28*15</f>
        <v>110.2</v>
      </c>
      <c r="Q28" s="16">
        <f>'C５级比赛'!Q28*15</f>
        <v>103.3125</v>
      </c>
      <c r="R28" s="16">
        <f>'C５级比赛'!R28*15</f>
        <v>91.8333333333333</v>
      </c>
      <c r="S28" s="16">
        <f>'C５级比赛'!S28*15</f>
        <v>82.65</v>
      </c>
      <c r="T28" s="16">
        <f>'C５级比赛'!T28*15</f>
        <v>63.5769230769231</v>
      </c>
      <c r="U28" s="16">
        <f>'C５级比赛'!U28*15</f>
        <v>55.1</v>
      </c>
      <c r="V28" s="16">
        <f>'C５级比赛'!V28*15</f>
        <v>40.3170731707317</v>
      </c>
      <c r="W28" s="16">
        <f>'C５级比赛'!W28*15</f>
        <v>32.4117647058823</v>
      </c>
      <c r="X28" s="16">
        <f>'C５级比赛'!X28*15</f>
        <v>27.0983606557377</v>
      </c>
      <c r="Y28" s="16">
        <f>'C５级比赛'!Y28*15</f>
        <v>23.2816901408451</v>
      </c>
      <c r="Z28" s="16">
        <f>'C５级比赛'!Z28*15</f>
        <v>20.4074074074074</v>
      </c>
      <c r="AA28" s="38">
        <f>'C５级比赛'!AA28*15</f>
        <v>9455.85510199818</v>
      </c>
      <c r="AB28" s="15">
        <f>'C５级比赛'!AB28*15</f>
        <v>52.2422933812054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</row>
    <row r="29" spans="1:121">
      <c r="A29" s="22" t="s">
        <v>67</v>
      </c>
      <c r="B29" s="16">
        <f>'C５级比赛'!B29*15</f>
        <v>1801.5</v>
      </c>
      <c r="C29" s="16">
        <f>'C５级比赛'!C29*15</f>
        <v>1261.05</v>
      </c>
      <c r="D29" s="16">
        <f>'C５级比赛'!D29*15</f>
        <v>900.75</v>
      </c>
      <c r="E29" s="16">
        <f>'C５级比赛'!E29*15</f>
        <v>630.525</v>
      </c>
      <c r="F29" s="16">
        <f>'C５级比赛'!F29*15</f>
        <v>360.3</v>
      </c>
      <c r="G29" s="16">
        <f>'C５级比赛'!G29*15</f>
        <v>300.25</v>
      </c>
      <c r="H29" s="16">
        <f>'C５级比赛'!H29*15</f>
        <v>257.357142857143</v>
      </c>
      <c r="I29" s="16">
        <f>'C５级比赛'!I29*15</f>
        <v>225.1875</v>
      </c>
      <c r="J29" s="16">
        <f>'C５级比赛'!J29*15</f>
        <v>200.166666666667</v>
      </c>
      <c r="K29" s="16">
        <f>'C５级比赛'!K29*15</f>
        <v>180.15</v>
      </c>
      <c r="L29" s="16">
        <f>'C５级比赛'!L29*15</f>
        <v>163.772727272727</v>
      </c>
      <c r="M29" s="16">
        <f>'C５级比赛'!M29*15</f>
        <v>150.125</v>
      </c>
      <c r="N29" s="16">
        <f>'C５级比赛'!N29*15</f>
        <v>138.576923076923</v>
      </c>
      <c r="O29" s="16">
        <f>'C５级比赛'!O29*15</f>
        <v>128.678571428571</v>
      </c>
      <c r="P29" s="16">
        <f>'C５级比赛'!P29*15</f>
        <v>120.1</v>
      </c>
      <c r="Q29" s="16">
        <f>'C５级比赛'!Q29*15</f>
        <v>112.59375</v>
      </c>
      <c r="R29" s="16">
        <f>'C５级比赛'!R29*15</f>
        <v>100.083333333333</v>
      </c>
      <c r="S29" s="16">
        <f>'C５级比赛'!S29*15</f>
        <v>90.075</v>
      </c>
      <c r="T29" s="16">
        <f>'C５级比赛'!T29*15</f>
        <v>69.2884615384615</v>
      </c>
      <c r="U29" s="16">
        <f>'C５级比赛'!U29*15</f>
        <v>60.05</v>
      </c>
      <c r="V29" s="16">
        <f>'C５级比赛'!V29*15</f>
        <v>43.9390243902439</v>
      </c>
      <c r="W29" s="16">
        <f>'C５级比赛'!W29*15</f>
        <v>35.3235294117647</v>
      </c>
      <c r="X29" s="16">
        <f>'C５级比赛'!X29*15</f>
        <v>29.5327868852459</v>
      </c>
      <c r="Y29" s="16">
        <f>'C５级比赛'!Y29*15</f>
        <v>25.3732394366197</v>
      </c>
      <c r="Z29" s="16">
        <f>'C５级比赛'!Z29*15</f>
        <v>22.2407407407407</v>
      </c>
      <c r="AA29" s="16">
        <f>'C５级比赛'!AA29*15</f>
        <v>19.7967032967033</v>
      </c>
      <c r="AB29" s="38">
        <f>'C５级比赛'!AB29*15</f>
        <v>10503.3045806075</v>
      </c>
      <c r="AC29" s="15">
        <f>'C５级比赛'!AC29*15</f>
        <v>52.2552466696892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</row>
    <row r="30" spans="1:121">
      <c r="A30" s="22" t="s">
        <v>68</v>
      </c>
      <c r="B30" s="16">
        <f>'C５级比赛'!B30*15</f>
        <v>2088</v>
      </c>
      <c r="C30" s="16">
        <f>'C５级比赛'!C30*15</f>
        <v>1461.6</v>
      </c>
      <c r="D30" s="16">
        <f>'C５级比赛'!D30*15</f>
        <v>1044</v>
      </c>
      <c r="E30" s="16">
        <f>'C５级比赛'!E30*15</f>
        <v>730.8</v>
      </c>
      <c r="F30" s="16">
        <f>'C５级比赛'!F30*15</f>
        <v>417.6</v>
      </c>
      <c r="G30" s="16">
        <f>'C５级比赛'!G30*15</f>
        <v>348</v>
      </c>
      <c r="H30" s="16">
        <f>'C５级比赛'!H30*15</f>
        <v>298.285714285714</v>
      </c>
      <c r="I30" s="16">
        <f>'C５级比赛'!I30*15</f>
        <v>261</v>
      </c>
      <c r="J30" s="16">
        <f>'C５级比赛'!J30*15</f>
        <v>232</v>
      </c>
      <c r="K30" s="16">
        <f>'C５级比赛'!K30*15</f>
        <v>208.8</v>
      </c>
      <c r="L30" s="16">
        <f>'C５级比赛'!L30*15</f>
        <v>189.818181818182</v>
      </c>
      <c r="M30" s="16">
        <f>'C５级比赛'!M30*15</f>
        <v>174</v>
      </c>
      <c r="N30" s="16">
        <f>'C５级比赛'!N30*15</f>
        <v>160.615384615385</v>
      </c>
      <c r="O30" s="16">
        <f>'C５级比赛'!O30*15</f>
        <v>149.142857142857</v>
      </c>
      <c r="P30" s="16">
        <f>'C５级比赛'!P30*15</f>
        <v>139.2</v>
      </c>
      <c r="Q30" s="16">
        <f>'C５级比赛'!Q30*15</f>
        <v>130.5</v>
      </c>
      <c r="R30" s="16">
        <f>'C５级比赛'!R30*15</f>
        <v>116</v>
      </c>
      <c r="S30" s="16">
        <f>'C５级比赛'!S30*15</f>
        <v>104.4</v>
      </c>
      <c r="T30" s="16">
        <f>'C５级比赛'!T30*15</f>
        <v>80.3076923076923</v>
      </c>
      <c r="U30" s="16">
        <f>'C５级比赛'!U30*15</f>
        <v>69.6</v>
      </c>
      <c r="V30" s="16">
        <f>'C５级比赛'!V30*15</f>
        <v>50.9268292682927</v>
      </c>
      <c r="W30" s="16">
        <f>'C５级比赛'!W30*15</f>
        <v>40.9411764705882</v>
      </c>
      <c r="X30" s="16">
        <f>'C５级比赛'!X30*15</f>
        <v>34.2295081967213</v>
      </c>
      <c r="Y30" s="16">
        <f>'C５级比赛'!Y30*15</f>
        <v>29.4084507042253</v>
      </c>
      <c r="Z30" s="16">
        <f>'C５级比赛'!Z30*15</f>
        <v>25.7777777777778</v>
      </c>
      <c r="AA30" s="16">
        <f>'C５级比赛'!AA30*15</f>
        <v>22.9450549450549</v>
      </c>
      <c r="AB30" s="16">
        <f>'C５级比赛'!AB30*15</f>
        <v>20.88</v>
      </c>
      <c r="AC30" s="38">
        <f>'C５级比赛'!AC30*15</f>
        <v>12591.2885730272</v>
      </c>
      <c r="AD30" s="15">
        <f>'C５级比赛'!AD30*15</f>
        <v>52.2460106764614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</row>
    <row r="31" spans="1:121">
      <c r="A31" s="22" t="s">
        <v>69</v>
      </c>
      <c r="B31" s="16">
        <f>'C５级比赛'!B31*15</f>
        <v>2370</v>
      </c>
      <c r="C31" s="16">
        <f>'C５级比赛'!C31*15</f>
        <v>1659</v>
      </c>
      <c r="D31" s="16">
        <f>'C５级比赛'!D31*15</f>
        <v>1185</v>
      </c>
      <c r="E31" s="16">
        <f>'C５级比赛'!E31*15</f>
        <v>829.5</v>
      </c>
      <c r="F31" s="16">
        <f>'C５级比赛'!F31*15</f>
        <v>474</v>
      </c>
      <c r="G31" s="16">
        <f>'C５级比赛'!G31*15</f>
        <v>395</v>
      </c>
      <c r="H31" s="16">
        <f>'C５级比赛'!H31*15</f>
        <v>338.571428571429</v>
      </c>
      <c r="I31" s="16">
        <f>'C５级比赛'!I31*15</f>
        <v>296.25</v>
      </c>
      <c r="J31" s="16">
        <f>'C５级比赛'!J31*15</f>
        <v>263.333333333333</v>
      </c>
      <c r="K31" s="16">
        <f>'C５级比赛'!K31*15</f>
        <v>237</v>
      </c>
      <c r="L31" s="16">
        <f>'C５级比赛'!L31*15</f>
        <v>215.454545454545</v>
      </c>
      <c r="M31" s="16">
        <f>'C５级比赛'!M31*15</f>
        <v>197.5</v>
      </c>
      <c r="N31" s="16">
        <f>'C５级比赛'!N31*15</f>
        <v>182.307692307692</v>
      </c>
      <c r="O31" s="16">
        <f>'C５级比赛'!O31*15</f>
        <v>169.285714285714</v>
      </c>
      <c r="P31" s="16">
        <f>'C５级比赛'!P31*15</f>
        <v>158</v>
      </c>
      <c r="Q31" s="16">
        <f>'C５级比赛'!Q31*15</f>
        <v>148.125</v>
      </c>
      <c r="R31" s="16">
        <f>'C５级比赛'!R31*15</f>
        <v>131.666666666667</v>
      </c>
      <c r="S31" s="16">
        <f>'C５级比赛'!S31*15</f>
        <v>118.5</v>
      </c>
      <c r="T31" s="16">
        <f>'C５级比赛'!T31*15</f>
        <v>91.1538461538461</v>
      </c>
      <c r="U31" s="16">
        <f>'C５级比赛'!U31*15</f>
        <v>79</v>
      </c>
      <c r="V31" s="16">
        <f>'C５级比赛'!V31*15</f>
        <v>57.8048780487805</v>
      </c>
      <c r="W31" s="16">
        <f>'C５级比赛'!W31*15</f>
        <v>46.4705882352941</v>
      </c>
      <c r="X31" s="16">
        <f>'C５级比赛'!X31*15</f>
        <v>38.8524590163934</v>
      </c>
      <c r="Y31" s="16">
        <f>'C５级比赛'!Y31*15</f>
        <v>33.3802816901408</v>
      </c>
      <c r="Z31" s="16">
        <f>'C５级比赛'!Z31*15</f>
        <v>29.2592592592593</v>
      </c>
      <c r="AA31" s="16">
        <f>'C５级比赛'!AA31*15</f>
        <v>26.043956043956</v>
      </c>
      <c r="AB31" s="16">
        <f>'C５级比赛'!AB31*15</f>
        <v>23.7</v>
      </c>
      <c r="AC31" s="16">
        <f>'C５级比赛'!AC31*15</f>
        <v>19.5867768595041</v>
      </c>
      <c r="AD31" s="38">
        <f>'C５级比赛'!AD31*15</f>
        <v>14683.5717048503</v>
      </c>
      <c r="AE31" s="15">
        <f>'C５级比赛'!AE31*15</f>
        <v>52.2547035759796</v>
      </c>
      <c r="AF31" s="25"/>
      <c r="AG31" s="25"/>
      <c r="AH31" s="25">
        <f>'C５级比赛'!AH31*15</f>
        <v>0</v>
      </c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</row>
    <row r="32" spans="1:121">
      <c r="A32" s="22" t="s">
        <v>70</v>
      </c>
      <c r="B32" s="16">
        <f>'C５级比赛'!B32*15</f>
        <v>2647.5</v>
      </c>
      <c r="C32" s="16">
        <f>'C５级比赛'!C32*15</f>
        <v>1853.25</v>
      </c>
      <c r="D32" s="16">
        <f>'C５级比赛'!D32*15</f>
        <v>1323.75</v>
      </c>
      <c r="E32" s="16">
        <f>'C５级比赛'!E32*15</f>
        <v>926.625</v>
      </c>
      <c r="F32" s="16">
        <f>'C５级比赛'!F32*15</f>
        <v>529.5</v>
      </c>
      <c r="G32" s="16">
        <f>'C５级比赛'!G32*15</f>
        <v>441.25</v>
      </c>
      <c r="H32" s="16">
        <f>'C５级比赛'!H32*15</f>
        <v>378.214285714286</v>
      </c>
      <c r="I32" s="16">
        <f>'C５级比赛'!I32*15</f>
        <v>330.9375</v>
      </c>
      <c r="J32" s="16">
        <f>'C５级比赛'!J32*15</f>
        <v>294.166666666667</v>
      </c>
      <c r="K32" s="16">
        <f>'C５级比赛'!K32*15</f>
        <v>264.75</v>
      </c>
      <c r="L32" s="16">
        <f>'C５级比赛'!L32*15</f>
        <v>240.681818181818</v>
      </c>
      <c r="M32" s="16">
        <f>'C５级比赛'!M32*15</f>
        <v>220.625</v>
      </c>
      <c r="N32" s="16">
        <f>'C５级比赛'!N32*15</f>
        <v>203.653846153846</v>
      </c>
      <c r="O32" s="16">
        <f>'C５级比赛'!O32*15</f>
        <v>189.107142857143</v>
      </c>
      <c r="P32" s="16">
        <f>'C５级比赛'!P32*15</f>
        <v>176.5</v>
      </c>
      <c r="Q32" s="16">
        <f>'C５级比赛'!Q32*15</f>
        <v>165.46875</v>
      </c>
      <c r="R32" s="16">
        <f>'C５级比赛'!R32*15</f>
        <v>147.083333333333</v>
      </c>
      <c r="S32" s="16">
        <f>'C５级比赛'!S32*15</f>
        <v>132.375</v>
      </c>
      <c r="T32" s="16">
        <f>'C５级比赛'!T32*15</f>
        <v>101.826923076923</v>
      </c>
      <c r="U32" s="16">
        <f>'C５级比赛'!U32*15</f>
        <v>88.25</v>
      </c>
      <c r="V32" s="16">
        <f>'C５级比赛'!V32*15</f>
        <v>64.5731707317073</v>
      </c>
      <c r="W32" s="16">
        <f>'C５级比赛'!W32*15</f>
        <v>51.9117647058824</v>
      </c>
      <c r="X32" s="16">
        <f>'C５级比赛'!X32*15</f>
        <v>43.4016393442623</v>
      </c>
      <c r="Y32" s="16">
        <f>'C５级比赛'!Y32*15</f>
        <v>37.2887323943662</v>
      </c>
      <c r="Z32" s="16">
        <f>'C５级比赛'!Z32*15</f>
        <v>32.6851851851852</v>
      </c>
      <c r="AA32" s="16">
        <f>'C５级比赛'!AA32*15</f>
        <v>29.0934065934066</v>
      </c>
      <c r="AB32" s="16">
        <f>'C５级比赛'!AB32*15</f>
        <v>26.475</v>
      </c>
      <c r="AC32" s="16">
        <f>'C５级比赛'!AC32*15</f>
        <v>21.8801652892562</v>
      </c>
      <c r="AD32" s="16">
        <f>'C５级比赛'!AD32*15</f>
        <v>18.7765957446809</v>
      </c>
      <c r="AE32" s="38">
        <f>'C５级比赛'!AE32*15</f>
        <v>16778.3825851852</v>
      </c>
      <c r="AF32" s="27">
        <f>'C５级比赛'!AF32*15</f>
        <v>52.2691046267452</v>
      </c>
      <c r="AG32" s="25"/>
      <c r="AH32" s="25">
        <f>'C５级比赛'!AH32*15</f>
        <v>0</v>
      </c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</row>
    <row r="33" spans="1:121">
      <c r="A33" s="22" t="s">
        <v>71</v>
      </c>
      <c r="B33" s="16">
        <f>'C５级比赛'!B33*15</f>
        <v>2920.5</v>
      </c>
      <c r="C33" s="16">
        <f>'C５级比赛'!C33*15</f>
        <v>2044.35</v>
      </c>
      <c r="D33" s="16">
        <f>'C５级比赛'!D33*15</f>
        <v>1460.25</v>
      </c>
      <c r="E33" s="16">
        <f>'C５级比赛'!E33*15</f>
        <v>1022.175</v>
      </c>
      <c r="F33" s="16">
        <f>'C５级比赛'!F33*15</f>
        <v>584.1</v>
      </c>
      <c r="G33" s="16">
        <f>'C５级比赛'!G33*15</f>
        <v>486.75</v>
      </c>
      <c r="H33" s="16">
        <f>'C５级比赛'!H33*15</f>
        <v>417.214285714286</v>
      </c>
      <c r="I33" s="16">
        <f>'C５级比赛'!I33*15</f>
        <v>365.0625</v>
      </c>
      <c r="J33" s="16">
        <f>'C５级比赛'!J33*15</f>
        <v>324.5</v>
      </c>
      <c r="K33" s="16">
        <f>'C５级比赛'!K33*15</f>
        <v>292.05</v>
      </c>
      <c r="L33" s="16">
        <f>'C５级比赛'!L33*15</f>
        <v>265.5</v>
      </c>
      <c r="M33" s="16">
        <f>'C５级比赛'!M33*15</f>
        <v>243.375</v>
      </c>
      <c r="N33" s="16">
        <f>'C５级比赛'!N33*15</f>
        <v>224.653846153846</v>
      </c>
      <c r="O33" s="16">
        <f>'C５级比赛'!O33*15</f>
        <v>208.607142857143</v>
      </c>
      <c r="P33" s="16">
        <f>'C５级比赛'!P33*15</f>
        <v>194.7</v>
      </c>
      <c r="Q33" s="16">
        <f>'C５级比赛'!Q33*15</f>
        <v>182.53125</v>
      </c>
      <c r="R33" s="16">
        <f>'C５级比赛'!R33*15</f>
        <v>162.25</v>
      </c>
      <c r="S33" s="16">
        <f>'C５级比赛'!S33*15</f>
        <v>146.025</v>
      </c>
      <c r="T33" s="16">
        <f>'C５级比赛'!T33*15</f>
        <v>112.326923076923</v>
      </c>
      <c r="U33" s="16">
        <f>'C５级比赛'!U33*15</f>
        <v>97.35</v>
      </c>
      <c r="V33" s="16">
        <f>'C５级比赛'!V33*15</f>
        <v>71.2317073170732</v>
      </c>
      <c r="W33" s="16">
        <f>'C５级比赛'!W33*15</f>
        <v>57.2647058823529</v>
      </c>
      <c r="X33" s="16">
        <f>'C５级比赛'!X33*15</f>
        <v>47.8770491803279</v>
      </c>
      <c r="Y33" s="16">
        <f>'C５级比赛'!Y33*15</f>
        <v>41.1338028169014</v>
      </c>
      <c r="Z33" s="16">
        <f>'C５级比赛'!Z33*15</f>
        <v>36.0555555555556</v>
      </c>
      <c r="AA33" s="16">
        <f>'C５级比赛'!AA33*15</f>
        <v>32.0934065934066</v>
      </c>
      <c r="AB33" s="16">
        <f>'C５级比赛'!AB33*15</f>
        <v>29.205</v>
      </c>
      <c r="AC33" s="16">
        <f>'C５级比赛'!AC33*15</f>
        <v>24.1363636363636</v>
      </c>
      <c r="AD33" s="16">
        <f>'C５级比赛'!AD33*15</f>
        <v>20.7127659574468</v>
      </c>
      <c r="AE33" s="16">
        <f>'C５级比赛'!AE33*15</f>
        <v>18.139751552795</v>
      </c>
      <c r="AF33" s="39">
        <f>'C５级比赛'!AF33*15</f>
        <v>18871.2997864982</v>
      </c>
      <c r="AG33" s="27">
        <f>'C５级比赛'!AG33*15</f>
        <v>52.2750686606598</v>
      </c>
      <c r="AH33" s="25">
        <f>'C５级比赛'!AH33*15</f>
        <v>0</v>
      </c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</row>
    <row r="34" spans="1:121">
      <c r="A34" s="22" t="s">
        <v>72</v>
      </c>
      <c r="B34" s="16">
        <f>'C５级比赛'!B34*15</f>
        <v>3190.5</v>
      </c>
      <c r="C34" s="16">
        <f>'C５级比赛'!C34*15</f>
        <v>2233.35</v>
      </c>
      <c r="D34" s="16">
        <f>'C５级比赛'!D34*15</f>
        <v>1595.25</v>
      </c>
      <c r="E34" s="16">
        <f>'C５级比赛'!E34*15</f>
        <v>1116.675</v>
      </c>
      <c r="F34" s="16">
        <f>'C５级比赛'!F34*15</f>
        <v>638.1</v>
      </c>
      <c r="G34" s="16">
        <f>'C５级比赛'!G34*15</f>
        <v>531.75</v>
      </c>
      <c r="H34" s="16">
        <f>'C５级比赛'!H34*15</f>
        <v>455.785714285714</v>
      </c>
      <c r="I34" s="16">
        <f>'C５级比赛'!I34*15</f>
        <v>398.8125</v>
      </c>
      <c r="J34" s="16">
        <f>'C５级比赛'!J34*15</f>
        <v>354.5</v>
      </c>
      <c r="K34" s="16">
        <f>'C５级比赛'!K34*15</f>
        <v>319.05</v>
      </c>
      <c r="L34" s="16">
        <f>'C５级比赛'!L34*15</f>
        <v>290.045454545455</v>
      </c>
      <c r="M34" s="16">
        <f>'C５级比赛'!M34*15</f>
        <v>265.875</v>
      </c>
      <c r="N34" s="16">
        <f>'C５级比赛'!N34*15</f>
        <v>245.423076923077</v>
      </c>
      <c r="O34" s="16">
        <f>'C５级比赛'!O34*15</f>
        <v>227.892857142857</v>
      </c>
      <c r="P34" s="16">
        <f>'C５级比赛'!P34*15</f>
        <v>212.7</v>
      </c>
      <c r="Q34" s="16">
        <f>'C５级比赛'!Q34*15</f>
        <v>199.40625</v>
      </c>
      <c r="R34" s="16">
        <f>'C５级比赛'!R34*15</f>
        <v>177.25</v>
      </c>
      <c r="S34" s="16">
        <f>'C５级比赛'!S34*15</f>
        <v>159.525</v>
      </c>
      <c r="T34" s="16">
        <f>'C５级比赛'!T34*15</f>
        <v>122.711538461538</v>
      </c>
      <c r="U34" s="16">
        <f>'C５级比赛'!U34*15</f>
        <v>106.35</v>
      </c>
      <c r="V34" s="16">
        <f>'C５级比赛'!V34*15</f>
        <v>77.8170731707317</v>
      </c>
      <c r="W34" s="16">
        <f>'C５级比赛'!W34*15</f>
        <v>62.5588235294118</v>
      </c>
      <c r="X34" s="16">
        <f>'C５级比赛'!X34*15</f>
        <v>52.3032786885246</v>
      </c>
      <c r="Y34" s="16">
        <f>'C５级比赛'!Y34*15</f>
        <v>44.9366197183099</v>
      </c>
      <c r="Z34" s="16">
        <f>'C５级比赛'!Z34*15</f>
        <v>39.3888888888889</v>
      </c>
      <c r="AA34" s="16">
        <f>'C５级比赛'!AA34*15</f>
        <v>35.0604395604396</v>
      </c>
      <c r="AB34" s="16">
        <f>'C５级比赛'!AB34*15</f>
        <v>31.905</v>
      </c>
      <c r="AC34" s="16">
        <f>'C５级比赛'!AC34*15</f>
        <v>26.3677685950413</v>
      </c>
      <c r="AD34" s="16">
        <f>'C５级比赛'!AD34*15</f>
        <v>22.6276595744681</v>
      </c>
      <c r="AE34" s="16">
        <f>'C５级比赛'!AE34*15</f>
        <v>19.8167701863354</v>
      </c>
      <c r="AF34" s="25">
        <f>'C５级比赛'!AF34*15</f>
        <v>17.6270718232044</v>
      </c>
      <c r="AG34" s="39">
        <f>'C５级比赛'!AG34*15</f>
        <v>20968.4914343488</v>
      </c>
      <c r="AH34" s="27">
        <f>'C５级比赛'!AH34*15</f>
        <v>52.290502330047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</row>
    <row r="35" spans="1:121">
      <c r="A35" s="22" t="s">
        <v>73</v>
      </c>
      <c r="B35" s="16">
        <f>'C５级比赛'!B35*15</f>
        <v>4444.5</v>
      </c>
      <c r="C35" s="16">
        <f>'C５级比赛'!C35*15</f>
        <v>3111.15</v>
      </c>
      <c r="D35" s="16">
        <f>'C５级比赛'!D35*15</f>
        <v>2222.25</v>
      </c>
      <c r="E35" s="16">
        <f>'C５级比赛'!E35*15</f>
        <v>1555.575</v>
      </c>
      <c r="F35" s="16">
        <f>'C５级比赛'!F35*15</f>
        <v>888.9</v>
      </c>
      <c r="G35" s="16">
        <f>'C５级比赛'!G35*15</f>
        <v>740.75</v>
      </c>
      <c r="H35" s="16">
        <f>'C５级比赛'!H35*15</f>
        <v>634.928571428571</v>
      </c>
      <c r="I35" s="16">
        <f>'C５级比赛'!I35*15</f>
        <v>555.5625</v>
      </c>
      <c r="J35" s="16">
        <f>'C５级比赛'!J35*15</f>
        <v>493.833333333333</v>
      </c>
      <c r="K35" s="16">
        <f>'C５级比赛'!K35*15</f>
        <v>444.45</v>
      </c>
      <c r="L35" s="16">
        <f>'C５级比赛'!L35*15</f>
        <v>404.045454545455</v>
      </c>
      <c r="M35" s="16">
        <f>'C５级比赛'!M35*15</f>
        <v>370.375</v>
      </c>
      <c r="N35" s="16">
        <f>'C５级比赛'!N35*15</f>
        <v>341.884615384615</v>
      </c>
      <c r="O35" s="16">
        <f>'C５级比赛'!O35*15</f>
        <v>317.464285714286</v>
      </c>
      <c r="P35" s="16">
        <f>'C５级比赛'!P35*15</f>
        <v>296.3</v>
      </c>
      <c r="Q35" s="16">
        <f>'C５级比赛'!Q35*15</f>
        <v>277.78125</v>
      </c>
      <c r="R35" s="16">
        <f>'C５级比赛'!R35*15</f>
        <v>246.916666666667</v>
      </c>
      <c r="S35" s="16">
        <f>'C５级比赛'!S35*15</f>
        <v>222.225</v>
      </c>
      <c r="T35" s="16">
        <f>'C５级比赛'!T35*15</f>
        <v>170.942307692308</v>
      </c>
      <c r="U35" s="16">
        <f>'C５级比赛'!U35*15</f>
        <v>148.15</v>
      </c>
      <c r="V35" s="16">
        <f>'C５级比赛'!V35*15</f>
        <v>108.40243902439</v>
      </c>
      <c r="W35" s="16">
        <f>'C５级比赛'!W35*15</f>
        <v>87.1470588235294</v>
      </c>
      <c r="X35" s="16">
        <f>'C５级比赛'!X35*15</f>
        <v>72.8606557377049</v>
      </c>
      <c r="Y35" s="16">
        <f>'C５级比赛'!Y35*15</f>
        <v>62.5985915492958</v>
      </c>
      <c r="Z35" s="16">
        <f>'C５级比赛'!Z35*15</f>
        <v>54.8703703703704</v>
      </c>
      <c r="AA35" s="16">
        <f>'C５级比赛'!AA35*15</f>
        <v>48.8406593406593</v>
      </c>
      <c r="AB35" s="16">
        <f>'C５级比赛'!AB35*15</f>
        <v>44.445</v>
      </c>
      <c r="AC35" s="16">
        <f>'C５级比赛'!AC35*15</f>
        <v>36.7314049586777</v>
      </c>
      <c r="AD35" s="16">
        <f>'C５级比赛'!AD35*15</f>
        <v>31.5212765957447</v>
      </c>
      <c r="AE35" s="16">
        <f>'C５级比赛'!AE35*15</f>
        <v>27.6055900621118</v>
      </c>
      <c r="AF35" s="25">
        <f>'C５级比赛'!AF35*15</f>
        <v>24.5552486187845</v>
      </c>
      <c r="AG35" s="25">
        <f>'C５级比赛'!AG35*15</f>
        <v>22.1119402985075</v>
      </c>
      <c r="AH35" s="39">
        <f>'C５级比赛'!AH35*15</f>
        <v>31421.1799818844</v>
      </c>
      <c r="AI35" s="27">
        <f>'C５级比赛'!AI35*15</f>
        <v>52.2814974740173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</row>
    <row r="36" spans="1:121">
      <c r="A36" s="22" t="s">
        <v>74</v>
      </c>
      <c r="B36" s="16">
        <f>'C５级比赛'!B36*15</f>
        <v>5658</v>
      </c>
      <c r="C36" s="16">
        <f>'C５级比赛'!C36*15</f>
        <v>3960.6</v>
      </c>
      <c r="D36" s="16">
        <f>'C５级比赛'!D36*15</f>
        <v>2829</v>
      </c>
      <c r="E36" s="16">
        <f>'C５级比赛'!E36*15</f>
        <v>1980.3</v>
      </c>
      <c r="F36" s="16">
        <f>'C５级比赛'!F36*15</f>
        <v>1131.6</v>
      </c>
      <c r="G36" s="16">
        <f>'C５级比赛'!G36*15</f>
        <v>943</v>
      </c>
      <c r="H36" s="16">
        <f>'C５级比赛'!H36*15</f>
        <v>808.285714285714</v>
      </c>
      <c r="I36" s="16">
        <f>'C５级比赛'!I36*15</f>
        <v>707.25</v>
      </c>
      <c r="J36" s="16">
        <f>'C５级比赛'!J36*15</f>
        <v>628.666666666667</v>
      </c>
      <c r="K36" s="16">
        <f>'C５级比赛'!K36*15</f>
        <v>565.8</v>
      </c>
      <c r="L36" s="16">
        <f>'C５级比赛'!L36*15</f>
        <v>514.363636363636</v>
      </c>
      <c r="M36" s="16">
        <f>'C５级比赛'!M36*15</f>
        <v>471.5</v>
      </c>
      <c r="N36" s="16">
        <f>'C５级比赛'!N36*15</f>
        <v>435.230769230769</v>
      </c>
      <c r="O36" s="16">
        <f>'C５级比赛'!O36*15</f>
        <v>404.142857142857</v>
      </c>
      <c r="P36" s="16">
        <f>'C５级比赛'!P36*15</f>
        <v>377.2</v>
      </c>
      <c r="Q36" s="16">
        <f>'C５级比赛'!Q36*15</f>
        <v>353.625</v>
      </c>
      <c r="R36" s="16">
        <f>'C５级比赛'!R36*15</f>
        <v>314.333333333333</v>
      </c>
      <c r="S36" s="16">
        <f>'C５级比赛'!S36*15</f>
        <v>282.9</v>
      </c>
      <c r="T36" s="16">
        <f>'C５级比赛'!T36*15</f>
        <v>217.615384615385</v>
      </c>
      <c r="U36" s="16">
        <f>'C５级比赛'!U36*15</f>
        <v>188.6</v>
      </c>
      <c r="V36" s="16">
        <f>'C５级比赛'!V36*15</f>
        <v>138</v>
      </c>
      <c r="W36" s="16">
        <f>'C５级比赛'!W36*15</f>
        <v>110.941176470588</v>
      </c>
      <c r="X36" s="16">
        <f>'C５级比赛'!X36*15</f>
        <v>92.7540983606557</v>
      </c>
      <c r="Y36" s="16">
        <f>'C５级比赛'!Y36*15</f>
        <v>79.6901408450704</v>
      </c>
      <c r="Z36" s="16">
        <f>'C５级比赛'!Z36*15</f>
        <v>69.8518518518518</v>
      </c>
      <c r="AA36" s="16">
        <f>'C５级比赛'!AA36*15</f>
        <v>62.1758241758242</v>
      </c>
      <c r="AB36" s="16">
        <f>'C５级比赛'!AB36*15</f>
        <v>56.58</v>
      </c>
      <c r="AC36" s="16">
        <f>'C５级比赛'!AC36*15</f>
        <v>46.7603305785124</v>
      </c>
      <c r="AD36" s="16">
        <f>'C５级比赛'!AD36*15</f>
        <v>40.1276595744681</v>
      </c>
      <c r="AE36" s="16">
        <f>'C５级比赛'!AE36*15</f>
        <v>35.1428571428571</v>
      </c>
      <c r="AF36" s="25">
        <f>'C５级比赛'!AF36*15</f>
        <v>31.2596685082873</v>
      </c>
      <c r="AG36" s="25">
        <f>'C５级比赛'!AG36*15</f>
        <v>28.1492537313433</v>
      </c>
      <c r="AH36" s="25">
        <f>'C５级比赛'!AH36*15</f>
        <v>18.797342192691</v>
      </c>
      <c r="AI36" s="39">
        <f>'C５级比赛'!AI36*15</f>
        <v>41879.9673922924</v>
      </c>
      <c r="AJ36" s="27">
        <f>'C５级比赛'!AJ36*15</f>
        <v>52.284603486008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</row>
    <row r="37" s="2" customFormat="1" spans="1:121">
      <c r="A37" s="19" t="s">
        <v>75</v>
      </c>
      <c r="B37" s="13">
        <f>'C５级比赛'!B37*15</f>
        <v>6840</v>
      </c>
      <c r="C37" s="13">
        <f>'C５级比赛'!C37*15</f>
        <v>4788</v>
      </c>
      <c r="D37" s="13">
        <f>'C５级比赛'!D37*15</f>
        <v>3420</v>
      </c>
      <c r="E37" s="13">
        <f>'C５级比赛'!E37*15</f>
        <v>2394</v>
      </c>
      <c r="F37" s="13">
        <f>'C５级比赛'!F37*15</f>
        <v>1368</v>
      </c>
      <c r="G37" s="13">
        <f>'C５级比赛'!G37*15</f>
        <v>1140</v>
      </c>
      <c r="H37" s="13">
        <f>'C５级比赛'!H37*15</f>
        <v>977.142857142857</v>
      </c>
      <c r="I37" s="13">
        <f>'C５级比赛'!I37*15</f>
        <v>855</v>
      </c>
      <c r="J37" s="13">
        <f>'C５级比赛'!J37*15</f>
        <v>760</v>
      </c>
      <c r="K37" s="13">
        <f>'C５级比赛'!K37*15</f>
        <v>684</v>
      </c>
      <c r="L37" s="13">
        <f>'C５级比赛'!L37*15</f>
        <v>621.818181818182</v>
      </c>
      <c r="M37" s="13">
        <f>'C５级比赛'!M37*15</f>
        <v>570</v>
      </c>
      <c r="N37" s="13">
        <f>'C５级比赛'!N37*15</f>
        <v>526.153846153846</v>
      </c>
      <c r="O37" s="13">
        <f>'C５级比赛'!O37*15</f>
        <v>488.571428571429</v>
      </c>
      <c r="P37" s="13">
        <f>'C５级比赛'!P37*15</f>
        <v>456</v>
      </c>
      <c r="Q37" s="13">
        <f>'C５级比赛'!Q37*15</f>
        <v>427.5</v>
      </c>
      <c r="R37" s="13">
        <f>'C５级比赛'!R37*15</f>
        <v>380</v>
      </c>
      <c r="S37" s="13">
        <f>'C５级比赛'!S37*15</f>
        <v>342</v>
      </c>
      <c r="T37" s="13">
        <f>'C５级比赛'!T37*15</f>
        <v>263.076923076923</v>
      </c>
      <c r="U37" s="13">
        <f>'C５级比赛'!U37*15</f>
        <v>228</v>
      </c>
      <c r="V37" s="13">
        <f>'C５级比赛'!V37*15</f>
        <v>166.829268292683</v>
      </c>
      <c r="W37" s="13">
        <f>'C５级比赛'!W37*15</f>
        <v>134.117647058824</v>
      </c>
      <c r="X37" s="13">
        <f>'C５级比赛'!X37*15</f>
        <v>112.131147540984</v>
      </c>
      <c r="Y37" s="13">
        <f>'C５级比赛'!Y37*15</f>
        <v>96.3380281690141</v>
      </c>
      <c r="Z37" s="13">
        <f>'C５级比赛'!Z37*15</f>
        <v>84.4444444444444</v>
      </c>
      <c r="AA37" s="13">
        <f>'C５级比赛'!AA37*15</f>
        <v>75.1648351648352</v>
      </c>
      <c r="AB37" s="13">
        <f>'C５级比赛'!AB37*15</f>
        <v>68.4</v>
      </c>
      <c r="AC37" s="13">
        <f>'C５级比赛'!AC37*15</f>
        <v>56.5289256198347</v>
      </c>
      <c r="AD37" s="13">
        <f>'C５级比赛'!AD37*15</f>
        <v>48.5106382978723</v>
      </c>
      <c r="AE37" s="13">
        <f>'C５级比赛'!AE37*15</f>
        <v>42.4844720496894</v>
      </c>
      <c r="AF37" s="29">
        <f>'C５级比赛'!AF37*15</f>
        <v>37.7900552486188</v>
      </c>
      <c r="AG37" s="29">
        <f>'C５级比赛'!AG37*15</f>
        <v>34.0298507462687</v>
      </c>
      <c r="AH37" s="29">
        <f>'C５级比赛'!AH37*15</f>
        <v>22.7242524916944</v>
      </c>
      <c r="AI37" s="29">
        <f>'C５级比赛'!AI37*15</f>
        <v>17.0573566084788</v>
      </c>
      <c r="AJ37" s="39">
        <f>'C５级比赛'!AJ37*15</f>
        <v>52334.7524447433</v>
      </c>
      <c r="AK37" s="27">
        <f>'C５级比赛'!AK37*15</f>
        <v>52.2824699747685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</row>
    <row r="38" spans="1:121">
      <c r="A38" s="22" t="s">
        <v>76</v>
      </c>
      <c r="B38" s="16">
        <f>'C５级比赛'!B38*15</f>
        <v>7524</v>
      </c>
      <c r="C38" s="16">
        <f>'C５级比赛'!C38*15</f>
        <v>6846.84</v>
      </c>
      <c r="D38" s="16">
        <f>'C５级比赛'!D38*15</f>
        <v>4890.6</v>
      </c>
      <c r="E38" s="16">
        <f>'C５级比赛'!E38*15</f>
        <v>3686.76</v>
      </c>
      <c r="F38" s="16">
        <f>'C５级比赛'!F38*15</f>
        <v>2106.72</v>
      </c>
      <c r="G38" s="16">
        <f>'C５级比赛'!G38*15</f>
        <v>1755.6</v>
      </c>
      <c r="H38" s="16">
        <f>'C５级比赛'!H38*15</f>
        <v>1504.8</v>
      </c>
      <c r="I38" s="16">
        <f>'C５级比赛'!I38*15</f>
        <v>1316.7</v>
      </c>
      <c r="J38" s="16">
        <f>'C５级比赛'!J38*15</f>
        <v>1170.4</v>
      </c>
      <c r="K38" s="16">
        <f>'C５级比赛'!K38*15</f>
        <v>1053.36</v>
      </c>
      <c r="L38" s="16">
        <f>'C５级比赛'!L38*15</f>
        <v>957.6</v>
      </c>
      <c r="M38" s="16">
        <f>'C５级比赛'!M38*15</f>
        <v>877.8</v>
      </c>
      <c r="N38" s="16">
        <f>'C５级比赛'!N38*15</f>
        <v>810.276923076923</v>
      </c>
      <c r="O38" s="16">
        <f>'C５级比赛'!O38*15</f>
        <v>752.4</v>
      </c>
      <c r="P38" s="16">
        <f>'C５级比赛'!P38*15</f>
        <v>702.24</v>
      </c>
      <c r="Q38" s="16">
        <f>'C５级比赛'!Q38*15</f>
        <v>658.35</v>
      </c>
      <c r="R38" s="16">
        <f>'C５级比赛'!R38*15</f>
        <v>585.2</v>
      </c>
      <c r="S38" s="16">
        <f>'C５级比赛'!S38*15</f>
        <v>489.06</v>
      </c>
      <c r="T38" s="16">
        <f>'C５级比赛'!T38*15</f>
        <v>376.2</v>
      </c>
      <c r="U38" s="16">
        <f>'C５级比赛'!U38*15</f>
        <v>326.04</v>
      </c>
      <c r="V38" s="16">
        <f>'C５级比赛'!V38*15</f>
        <v>238.565853658537</v>
      </c>
      <c r="W38" s="16">
        <f>'C５级比赛'!W38*15</f>
        <v>191.788235294118</v>
      </c>
      <c r="X38" s="16">
        <f>'C５级比赛'!X38*15</f>
        <v>160.347540983607</v>
      </c>
      <c r="Y38" s="16">
        <f>'C５级比赛'!Y38*15</f>
        <v>137.76338028169</v>
      </c>
      <c r="Z38" s="16">
        <f>'C５级比赛'!Z38*15</f>
        <v>120.755555555556</v>
      </c>
      <c r="AA38" s="16">
        <f>'C５级比赛'!AA38*15</f>
        <v>107.485714285714</v>
      </c>
      <c r="AB38" s="16">
        <f>'C５级比赛'!AB38*15</f>
        <v>97.812</v>
      </c>
      <c r="AC38" s="16">
        <f>'C５级比赛'!AC38*15</f>
        <v>80.8363636363636</v>
      </c>
      <c r="AD38" s="16">
        <f>'C５级比赛'!AD38*15</f>
        <v>69.3702127659575</v>
      </c>
      <c r="AE38" s="16">
        <f>'C５级比赛'!AE38*15</f>
        <v>60.7527950310559</v>
      </c>
      <c r="AF38" s="25">
        <f>'C５级比赛'!AF38*15</f>
        <v>54.0397790055249</v>
      </c>
      <c r="AG38" s="25">
        <f>'C５级比赛'!AG38*15</f>
        <v>48.6626865671642</v>
      </c>
      <c r="AH38" s="25">
        <f>'C５级比赛'!AH38*15</f>
        <v>32.4956810631229</v>
      </c>
      <c r="AI38" s="25">
        <f>'C５级比赛'!AI38*15</f>
        <v>24.3920199501247</v>
      </c>
      <c r="AJ38" s="25">
        <f>'C５级比赛'!AJ38*15</f>
        <v>19.5233532934132</v>
      </c>
      <c r="AK38" s="39">
        <f>'C５级比赛'!AK38*15</f>
        <v>78874.2598138417</v>
      </c>
      <c r="AL38" s="27">
        <f>'C５级比赛'!AL38*15</f>
        <v>52.5478080038919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</row>
    <row r="39" spans="1:121">
      <c r="A39" s="22" t="s">
        <v>77</v>
      </c>
      <c r="B39" s="16">
        <f>'C５级比赛'!B39*15</f>
        <v>8276.4</v>
      </c>
      <c r="C39" s="16">
        <f>'C５级比赛'!C39*15</f>
        <v>7531.524</v>
      </c>
      <c r="D39" s="16">
        <f>'C５级比赛'!D39*15</f>
        <v>7034.94</v>
      </c>
      <c r="E39" s="16">
        <f>'C５级比赛'!E39*15</f>
        <v>4924.458</v>
      </c>
      <c r="F39" s="16">
        <f>'C５级比赛'!F39*15</f>
        <v>2813.976</v>
      </c>
      <c r="G39" s="16">
        <f>'C５级比赛'!G39*15</f>
        <v>2344.98</v>
      </c>
      <c r="H39" s="16">
        <f>'C５级比赛'!H39*15</f>
        <v>2009.98285714286</v>
      </c>
      <c r="I39" s="16">
        <f>'C５级比赛'!I39*15</f>
        <v>1758.735</v>
      </c>
      <c r="J39" s="16">
        <f>'C５级比赛'!J39*15</f>
        <v>1563.32</v>
      </c>
      <c r="K39" s="16">
        <f>'C５级比赛'!K39*15</f>
        <v>1406.988</v>
      </c>
      <c r="L39" s="16">
        <f>'C５级比赛'!L39*15</f>
        <v>1279.08</v>
      </c>
      <c r="M39" s="16">
        <f>'C５级比赛'!M39*15</f>
        <v>1172.49</v>
      </c>
      <c r="N39" s="16">
        <f>'C５级比赛'!N39*15</f>
        <v>1082.29846153846</v>
      </c>
      <c r="O39" s="16">
        <f>'C５级比赛'!O39*15</f>
        <v>1004.99142857143</v>
      </c>
      <c r="P39" s="16">
        <f>'C５级比赛'!P39*15</f>
        <v>937.992</v>
      </c>
      <c r="Q39" s="16">
        <f>'C５级比赛'!Q39*15</f>
        <v>879.3675</v>
      </c>
      <c r="R39" s="16">
        <f>'C５级比赛'!R39*15</f>
        <v>781.66</v>
      </c>
      <c r="S39" s="16">
        <f>'C５级比赛'!S39*15</f>
        <v>703.494</v>
      </c>
      <c r="T39" s="16">
        <f>'C５级比赛'!T39*15</f>
        <v>541.149230769231</v>
      </c>
      <c r="U39" s="16">
        <f>'C５级比赛'!U39*15</f>
        <v>468.996</v>
      </c>
      <c r="V39" s="16">
        <f>'C５级比赛'!V39*15</f>
        <v>302.79512195122</v>
      </c>
      <c r="W39" s="16">
        <f>'C５级比赛'!W39*15</f>
        <v>243.423529411765</v>
      </c>
      <c r="X39" s="16">
        <f>'C５级比赛'!X39*15</f>
        <v>203.518032786885</v>
      </c>
      <c r="Y39" s="16">
        <f>'C５级比赛'!Y39*15</f>
        <v>174.853521126761</v>
      </c>
      <c r="Z39" s="16">
        <f>'C５级比赛'!Z39*15</f>
        <v>153.266666666667</v>
      </c>
      <c r="AA39" s="16">
        <f>'C５级比赛'!AA39*15</f>
        <v>136.424175824176</v>
      </c>
      <c r="AB39" s="16">
        <f>'C５级比赛'!AB39*15</f>
        <v>124.146</v>
      </c>
      <c r="AC39" s="16">
        <f>'C５级比赛'!AC39*15</f>
        <v>102.6</v>
      </c>
      <c r="AD39" s="16">
        <f>'C５级比赛'!AD39*15</f>
        <v>88.0468085106383</v>
      </c>
      <c r="AE39" s="16">
        <f>'C５级比赛'!AE39*15</f>
        <v>77.1093167701864</v>
      </c>
      <c r="AF39" s="25">
        <f>'C５级比赛'!AF39*15</f>
        <v>68.5889502762431</v>
      </c>
      <c r="AG39" s="25">
        <f>'C５级比赛'!AG39*15</f>
        <v>61.7641791044776</v>
      </c>
      <c r="AH39" s="25">
        <f>'C５级比赛'!AH39*15</f>
        <v>41.2445182724253</v>
      </c>
      <c r="AI39" s="25">
        <f>'C５级比赛'!AI39*15</f>
        <v>30.959102244389</v>
      </c>
      <c r="AJ39" s="25">
        <f>'C５级比赛'!AJ39*15</f>
        <v>24.7796407185629</v>
      </c>
      <c r="AK39" s="25">
        <f>'C５级比赛'!AK39*15</f>
        <v>16.530758988016</v>
      </c>
      <c r="AL39" s="39">
        <f>'C５级比赛'!AL39*15</f>
        <v>105236.058778689</v>
      </c>
      <c r="AM39" s="27">
        <f>'C５级比赛'!AM39*15</f>
        <v>52.5917335225832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</row>
    <row r="40" spans="1:121">
      <c r="A40" s="22" t="s">
        <v>78</v>
      </c>
      <c r="B40" s="16">
        <f>'C５级比赛'!B40*15</f>
        <v>9517.86</v>
      </c>
      <c r="C40" s="16">
        <f>'C５级比赛'!C40*15</f>
        <v>8661.2526</v>
      </c>
      <c r="D40" s="16">
        <f>'C５级比赛'!D40*15</f>
        <v>7852.2345</v>
      </c>
      <c r="E40" s="16">
        <f>'C５级比赛'!E40*15</f>
        <v>7328.7522</v>
      </c>
      <c r="F40" s="16">
        <f>'C５级比赛'!F40*15</f>
        <v>4187.8584</v>
      </c>
      <c r="G40" s="16">
        <f>'C５级比赛'!G40*15</f>
        <v>3489.882</v>
      </c>
      <c r="H40" s="16">
        <f>'C５级比赛'!H40*15</f>
        <v>2991.32742857143</v>
      </c>
      <c r="I40" s="16">
        <f>'C５级比赛'!I40*15</f>
        <v>2617.4115</v>
      </c>
      <c r="J40" s="16">
        <f>'C５级比赛'!J40*15</f>
        <v>2326.588</v>
      </c>
      <c r="K40" s="16">
        <f>'C５级比赛'!K40*15</f>
        <v>2093.9292</v>
      </c>
      <c r="L40" s="16">
        <f>'C５级比赛'!L40*15</f>
        <v>1903.572</v>
      </c>
      <c r="M40" s="16">
        <f>'C５级比赛'!M40*15</f>
        <v>1744.941</v>
      </c>
      <c r="N40" s="16">
        <f>'C５级比赛'!N40*15</f>
        <v>1610.71476923077</v>
      </c>
      <c r="O40" s="16">
        <f>'C５级比赛'!O40*15</f>
        <v>1495.66371428571</v>
      </c>
      <c r="P40" s="16">
        <f>'C５级比赛'!P40*15</f>
        <v>1395.9528</v>
      </c>
      <c r="Q40" s="16">
        <f>'C５级比赛'!Q40*15</f>
        <v>1308.70575</v>
      </c>
      <c r="R40" s="16">
        <f>'C５级比赛'!R40*15</f>
        <v>1163.294</v>
      </c>
      <c r="S40" s="16">
        <f>'C５级比赛'!S40*15</f>
        <v>1046.9646</v>
      </c>
      <c r="T40" s="16">
        <f>'C５级比赛'!T40*15</f>
        <v>805.357384615385</v>
      </c>
      <c r="U40" s="16">
        <f>'C５级比赛'!U40*15</f>
        <v>697.9764</v>
      </c>
      <c r="V40" s="16">
        <f>'C５级比赛'!V40*15</f>
        <v>510.71443902439</v>
      </c>
      <c r="W40" s="16">
        <f>'C５级比赛'!W40*15</f>
        <v>410.574352941177</v>
      </c>
      <c r="X40" s="16">
        <f>'C５级比赛'!X40*15</f>
        <v>343.267081967213</v>
      </c>
      <c r="Y40" s="16">
        <f>'C５级比赛'!Y40*15</f>
        <v>294.919605633803</v>
      </c>
      <c r="Z40" s="16">
        <f>'C５级比赛'!Z40*15</f>
        <v>258.509777777778</v>
      </c>
      <c r="AA40" s="16">
        <f>'C５级比赛'!AA40*15</f>
        <v>230.10210989011</v>
      </c>
      <c r="AB40" s="16">
        <f>'C５级比赛'!AB40*15</f>
        <v>209.39292</v>
      </c>
      <c r="AC40" s="16">
        <f>'C５级比赛'!AC40*15</f>
        <v>173.052</v>
      </c>
      <c r="AD40" s="16">
        <f>'C５级比赛'!AD40*15</f>
        <v>135.005106382979</v>
      </c>
      <c r="AE40" s="16">
        <f>'C５级比赛'!AE40*15</f>
        <v>118.234285714286</v>
      </c>
      <c r="AF40" s="25">
        <f>'C５级比赛'!AF40*15</f>
        <v>105.169723756906</v>
      </c>
      <c r="AG40" s="25">
        <f>'C５级比赛'!AG40*15</f>
        <v>94.7050746268657</v>
      </c>
      <c r="AH40" s="25">
        <f>'C５级比赛'!AH40*15</f>
        <v>63.2415946843854</v>
      </c>
      <c r="AI40" s="25">
        <f>'C５级比赛'!AI40*15</f>
        <v>47.4706234413965</v>
      </c>
      <c r="AJ40" s="25">
        <f>'C５级比赛'!AJ40*15</f>
        <v>30.3963592814371</v>
      </c>
      <c r="AK40" s="25">
        <f>'C５级比赛'!AK40*15</f>
        <v>20.2777310252996</v>
      </c>
      <c r="AL40" s="25">
        <f>'C５级比赛'!AL40*15</f>
        <v>15.2133626373626</v>
      </c>
      <c r="AM40" s="39">
        <f>'C５级比赛'!AM40*15</f>
        <v>157681.495095223</v>
      </c>
      <c r="AN40" s="27">
        <f>'C５级比赛'!AN40*15</f>
        <v>52.5429840370621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</row>
    <row r="41" spans="1:121">
      <c r="A41" s="22" t="s">
        <v>79</v>
      </c>
      <c r="B41" s="16">
        <f>'C５级比赛'!B41*15</f>
        <v>10945.539</v>
      </c>
      <c r="C41" s="16">
        <f>'C５级比赛'!C41*15</f>
        <v>9960.44049</v>
      </c>
      <c r="D41" s="16">
        <f>'C５级比赛'!D41*15</f>
        <v>9030.069675</v>
      </c>
      <c r="E41" s="16">
        <f>'C５级比赛'!E41*15</f>
        <v>8428.06503</v>
      </c>
      <c r="F41" s="16">
        <f>'C５级比赛'!F41*15</f>
        <v>5691.68028</v>
      </c>
      <c r="G41" s="16">
        <f>'C５级比赛'!G41*15</f>
        <v>4743.0669</v>
      </c>
      <c r="H41" s="16">
        <f>'C５级比赛'!H41*15</f>
        <v>4065.48591428572</v>
      </c>
      <c r="I41" s="16">
        <f>'C５级比赛'!I41*15</f>
        <v>3557.300175</v>
      </c>
      <c r="J41" s="16">
        <f>'C５级比赛'!J41*15</f>
        <v>3162.0446</v>
      </c>
      <c r="K41" s="16">
        <f>'C５级比赛'!K41*15</f>
        <v>2845.84014</v>
      </c>
      <c r="L41" s="16">
        <f>'C５级比赛'!L41*15</f>
        <v>2587.1274</v>
      </c>
      <c r="M41" s="16">
        <f>'C５级比赛'!M41*15</f>
        <v>2371.53345</v>
      </c>
      <c r="N41" s="16">
        <f>'C５级比赛'!N41*15</f>
        <v>2189.1078</v>
      </c>
      <c r="O41" s="16">
        <f>'C５级比赛'!O41*15</f>
        <v>2032.74295714286</v>
      </c>
      <c r="P41" s="16">
        <f>'C５级比赛'!P41*15</f>
        <v>1897.22676</v>
      </c>
      <c r="Q41" s="16">
        <f>'C５级比赛'!Q41*15</f>
        <v>1778.6500875</v>
      </c>
      <c r="R41" s="16">
        <f>'C５级比赛'!R41*15</f>
        <v>1581.0223</v>
      </c>
      <c r="S41" s="16">
        <f>'C５级比赛'!S41*15</f>
        <v>1422.92007</v>
      </c>
      <c r="T41" s="16">
        <f>'C５级比赛'!T41*15</f>
        <v>1094.5539</v>
      </c>
      <c r="U41" s="16">
        <f>'C５级比赛'!U41*15</f>
        <v>948.61338</v>
      </c>
      <c r="V41" s="16">
        <f>'C５级比赛'!V41*15</f>
        <v>694.107351219512</v>
      </c>
      <c r="W41" s="16">
        <f>'C５级比赛'!W41*15</f>
        <v>558.007870588235</v>
      </c>
      <c r="X41" s="16">
        <f>'C５级比赛'!X41*15</f>
        <v>466.531170491803</v>
      </c>
      <c r="Y41" s="16">
        <f>'C５级比赛'!Y41*15</f>
        <v>400.822554929578</v>
      </c>
      <c r="Z41" s="16">
        <f>'C５级比赛'!Z41*15</f>
        <v>351.338288888889</v>
      </c>
      <c r="AA41" s="16">
        <f>'C５级比赛'!AA41*15</f>
        <v>312.729685714286</v>
      </c>
      <c r="AB41" s="16">
        <f>'C５级比赛'!AB41*15</f>
        <v>284.584014</v>
      </c>
      <c r="AC41" s="16">
        <f>'C５级比赛'!AC41*15</f>
        <v>199.0098</v>
      </c>
      <c r="AD41" s="16">
        <f>'C５级比赛'!AD41*15</f>
        <v>170.781459574468</v>
      </c>
      <c r="AE41" s="16">
        <f>'C５级比赛'!AE41*15</f>
        <v>149.566371428571</v>
      </c>
      <c r="AF41" s="25">
        <f>'C５级比赛'!AF41*15</f>
        <v>133.039700552486</v>
      </c>
      <c r="AG41" s="25">
        <f>'C５级比赛'!AG41*15</f>
        <v>119.801919402985</v>
      </c>
      <c r="AH41" s="25">
        <f>'C５级比赛'!AH41*15</f>
        <v>72.7278338870432</v>
      </c>
      <c r="AI41" s="25">
        <f>'C５级比赛'!AI41*15</f>
        <v>54.591216957606</v>
      </c>
      <c r="AJ41" s="25">
        <f>'C５级比赛'!AJ41*15</f>
        <v>43.6947664670659</v>
      </c>
      <c r="AK41" s="25">
        <f>'C５级比赛'!AK41*15</f>
        <v>29.1492383488682</v>
      </c>
      <c r="AL41" s="25">
        <f>'C５级比赛'!AL41*15</f>
        <v>21.8692087912088</v>
      </c>
      <c r="AM41" s="25">
        <f>'C５级比赛'!AM41*15</f>
        <v>11.6674632911392</v>
      </c>
      <c r="AN41" s="39">
        <f>'C５级比赛'!AN41*15</f>
        <v>210147.571695783</v>
      </c>
      <c r="AO41" s="27">
        <f>'C５级比赛'!AO41*15</f>
        <v>52.5237619834499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</row>
    <row r="42" spans="1:121">
      <c r="A42" s="22" t="s">
        <v>80</v>
      </c>
      <c r="B42" s="16">
        <f>'C５级比赛'!B42*15</f>
        <v>12587.36985</v>
      </c>
      <c r="C42" s="16">
        <f>'C５级比赛'!C42*15</f>
        <v>11454.5065635</v>
      </c>
      <c r="D42" s="16">
        <f>'C５级比赛'!D42*15</f>
        <v>10384.58012625</v>
      </c>
      <c r="E42" s="16">
        <f>'C５级比赛'!E42*15</f>
        <v>9692.2747845</v>
      </c>
      <c r="F42" s="16">
        <f>'C５级比赛'!F42*15</f>
        <v>8307.664101</v>
      </c>
      <c r="G42" s="16">
        <f>'C５级比赛'!G42*15</f>
        <v>6923.0534175</v>
      </c>
      <c r="H42" s="16">
        <f>'C５级比赛'!H42*15</f>
        <v>5934.04578642857</v>
      </c>
      <c r="I42" s="16">
        <f>'C５级比赛'!I42*15</f>
        <v>5192.290063125</v>
      </c>
      <c r="J42" s="16">
        <f>'C５级比赛'!J42*15</f>
        <v>4615.368945</v>
      </c>
      <c r="K42" s="16">
        <f>'C５级比赛'!K42*15</f>
        <v>4153.8320505</v>
      </c>
      <c r="L42" s="16">
        <f>'C５级比赛'!L42*15</f>
        <v>3776.210955</v>
      </c>
      <c r="M42" s="16">
        <f>'C５级比赛'!M42*15</f>
        <v>3461.52670875</v>
      </c>
      <c r="N42" s="16">
        <f>'C５级比赛'!N42*15</f>
        <v>3195.25542346154</v>
      </c>
      <c r="O42" s="16">
        <f>'C５级比赛'!O42*15</f>
        <v>2967.02289321429</v>
      </c>
      <c r="P42" s="16">
        <f>'C５级比赛'!P42*15</f>
        <v>2769.221367</v>
      </c>
      <c r="Q42" s="16">
        <f>'C５级比赛'!Q42*15</f>
        <v>2596.1450315625</v>
      </c>
      <c r="R42" s="16">
        <f>'C５级比赛'!R42*15</f>
        <v>2307.6844725</v>
      </c>
      <c r="S42" s="16">
        <f>'C５级比赛'!S42*15</f>
        <v>2076.91602525</v>
      </c>
      <c r="T42" s="16">
        <f>'C５级比赛'!T42*15</f>
        <v>1597.62771173077</v>
      </c>
      <c r="U42" s="16">
        <f>'C５级比赛'!U42*15</f>
        <v>1384.6106835</v>
      </c>
      <c r="V42" s="16">
        <f>'C５级比赛'!V42*15</f>
        <v>1013.12976841463</v>
      </c>
      <c r="W42" s="16">
        <f>'C５级比赛'!W42*15</f>
        <v>814.476872647059</v>
      </c>
      <c r="X42" s="16">
        <f>'C５级比赛'!X42*15</f>
        <v>680.956073852459</v>
      </c>
      <c r="Y42" s="16">
        <f>'C５级比赛'!Y42*15</f>
        <v>585.046767676056</v>
      </c>
      <c r="Z42" s="16">
        <f>'C５级比赛'!Z42*15</f>
        <v>512.818771666667</v>
      </c>
      <c r="AA42" s="16">
        <f>'C５级比赛'!AA42*15</f>
        <v>456.465060494505</v>
      </c>
      <c r="AB42" s="16">
        <f>'C５级比赛'!AB42*15</f>
        <v>415.38320505</v>
      </c>
      <c r="AC42" s="16">
        <f>'C５级比赛'!AC42*15</f>
        <v>343.291905</v>
      </c>
      <c r="AD42" s="16">
        <f>'C５级比赛'!AD42*15</f>
        <v>294.598017765957</v>
      </c>
      <c r="AE42" s="16">
        <f>'C５级比赛'!AE42*15</f>
        <v>258.001990714286</v>
      </c>
      <c r="AF42" s="25">
        <f>'C５级比赛'!AF42*15</f>
        <v>229.493483453039</v>
      </c>
      <c r="AG42" s="25">
        <f>'C５级比赛'!AG42*15</f>
        <v>206.658310970149</v>
      </c>
      <c r="AH42" s="25">
        <f>'C５级比赛'!AH42*15</f>
        <v>125.45551345515</v>
      </c>
      <c r="AI42" s="25">
        <f>'C５级比赛'!AI42*15</f>
        <v>94.1698492518703</v>
      </c>
      <c r="AJ42" s="25">
        <f>'C５级比赛'!AJ42*15</f>
        <v>75.3734721556886</v>
      </c>
      <c r="AK42" s="25">
        <f>'C５级比赛'!AK42*15</f>
        <v>41.902030126498</v>
      </c>
      <c r="AL42" s="25">
        <f>'C５级比赛'!AL42*15</f>
        <v>25.1495901098901</v>
      </c>
      <c r="AM42" s="25">
        <f>'C５级比赛'!AM42*15</f>
        <v>16.7719784810127</v>
      </c>
      <c r="AN42" s="25">
        <f>'C５级比赛'!AN42*15</f>
        <v>11.3229713793103</v>
      </c>
      <c r="AO42" s="39">
        <f>'C５级比赛'!AO42*15</f>
        <v>315423.695835963</v>
      </c>
      <c r="AP42" s="27">
        <f>'C５级比赛'!AP42*15</f>
        <v>52.5618556633833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</row>
    <row r="43" spans="1:121">
      <c r="A43" s="22" t="s">
        <v>81</v>
      </c>
      <c r="B43" s="16">
        <f>'C５级比赛'!B43*15</f>
        <v>14475.4753275</v>
      </c>
      <c r="C43" s="16">
        <f>'C５级比赛'!C43*15</f>
        <v>13172.682548025</v>
      </c>
      <c r="D43" s="16">
        <f>'C５级比赛'!D43*15</f>
        <v>11942.2671451875</v>
      </c>
      <c r="E43" s="16">
        <f>'C５级比赛'!E43*15</f>
        <v>11146.116002175</v>
      </c>
      <c r="F43" s="16">
        <f>'C５级比赛'!F43*15</f>
        <v>10422.3422358</v>
      </c>
      <c r="G43" s="16">
        <f>'C５级比赛'!G43*15</f>
        <v>8685.2851965</v>
      </c>
      <c r="H43" s="16">
        <f>'C５级比赛'!H43*15</f>
        <v>7444.53016842857</v>
      </c>
      <c r="I43" s="16">
        <f>'C５级比赛'!I43*15</f>
        <v>6513.963897375</v>
      </c>
      <c r="J43" s="16">
        <f>'C５级比赛'!J43*15</f>
        <v>5790.190131</v>
      </c>
      <c r="K43" s="16">
        <f>'C５级比赛'!K43*15</f>
        <v>5211.1711179</v>
      </c>
      <c r="L43" s="16">
        <f>'C５级比赛'!L43*15</f>
        <v>4737.428289</v>
      </c>
      <c r="M43" s="16">
        <f>'C５级比赛'!M43*15</f>
        <v>4342.64259825</v>
      </c>
      <c r="N43" s="16">
        <f>'C５级比赛'!N43*15</f>
        <v>4008.59316761539</v>
      </c>
      <c r="O43" s="16">
        <f>'C５级比赛'!O43*15</f>
        <v>3722.26508421429</v>
      </c>
      <c r="P43" s="16">
        <f>'C５级比赛'!P43*15</f>
        <v>3474.1140786</v>
      </c>
      <c r="Q43" s="16">
        <f>'C５级比赛'!Q43*15</f>
        <v>3256.9819486875</v>
      </c>
      <c r="R43" s="16">
        <f>'C５级比赛'!R43*15</f>
        <v>2895.0950655</v>
      </c>
      <c r="S43" s="16">
        <f>'C５级比赛'!S43*15</f>
        <v>2605.58555895</v>
      </c>
      <c r="T43" s="16">
        <f>'C５级比赛'!T43*15</f>
        <v>2004.29658380769</v>
      </c>
      <c r="U43" s="16">
        <f>'C５级比赛'!U43*15</f>
        <v>1737.0570393</v>
      </c>
      <c r="V43" s="16">
        <f>'C５级比赛'!V43*15</f>
        <v>1271.01734582927</v>
      </c>
      <c r="W43" s="16">
        <f>'C５级比赛'!W43*15</f>
        <v>1021.79825841176</v>
      </c>
      <c r="X43" s="16">
        <f>'C５级比赛'!X43*15</f>
        <v>854.290347196721</v>
      </c>
      <c r="Y43" s="16">
        <f>'C５级比赛'!Y43*15</f>
        <v>733.967763084507</v>
      </c>
      <c r="Z43" s="16">
        <f>'C５级比赛'!Z43*15</f>
        <v>643.354459</v>
      </c>
      <c r="AA43" s="16">
        <f>'C５级比赛'!AA43*15</f>
        <v>572.656166802198</v>
      </c>
      <c r="AB43" s="16">
        <f>'C５级比赛'!AB43*15</f>
        <v>521.11711179</v>
      </c>
      <c r="AC43" s="16">
        <f>'C５级比赛'!AC43*15</f>
        <v>430.675299</v>
      </c>
      <c r="AD43" s="16">
        <f>'C５级比赛'!AD43*15</f>
        <v>359.320309547872</v>
      </c>
      <c r="AE43" s="16">
        <f>'C５级比赛'!AE43*15</f>
        <v>314.68424625</v>
      </c>
      <c r="AF43" s="25">
        <f>'C５级比赛'!AF43*15</f>
        <v>279.912506332873</v>
      </c>
      <c r="AG43" s="25">
        <f>'C５级比赛'!AG43*15</f>
        <v>252.060515652985</v>
      </c>
      <c r="AH43" s="25">
        <f>'C５级比赛'!AH43*15</f>
        <v>158.701224520764</v>
      </c>
      <c r="AI43" s="25">
        <f>'C５级比赛'!AI43*15</f>
        <v>119.124859303616</v>
      </c>
      <c r="AJ43" s="25">
        <f>'C５级比赛'!AJ43*15</f>
        <v>89.5688094116767</v>
      </c>
      <c r="AK43" s="25">
        <f>'C５级比赛'!AK43*15</f>
        <v>57.8248015745672</v>
      </c>
      <c r="AL43" s="25">
        <f>'C５级比赛'!AL43*15</f>
        <v>43.3830429395604</v>
      </c>
      <c r="AM43" s="25">
        <f>'C５级比赛'!AM43*15</f>
        <v>28.9316628797468</v>
      </c>
      <c r="AN43" s="25">
        <f>'C５级比赛'!AN43*15</f>
        <v>21.7023618103448</v>
      </c>
      <c r="AO43" s="25">
        <f>'C５级比赛'!AO43*15</f>
        <v>13.5059416584472</v>
      </c>
      <c r="AP43" s="39">
        <f>'C５级比赛'!AP43*15</f>
        <v>420996.049122637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</row>
    <row r="44" s="2" customFormat="1" ht="21.6" spans="1:121">
      <c r="A44" s="19" t="s">
        <v>82</v>
      </c>
      <c r="B44" s="13">
        <f>'C５级比赛'!B44*15</f>
        <v>16646.796626625</v>
      </c>
      <c r="C44" s="13">
        <f>'C５级比赛'!C44*15</f>
        <v>15148.5849302287</v>
      </c>
      <c r="D44" s="13">
        <f>'C５级比赛'!D44*15</f>
        <v>13733.6072169656</v>
      </c>
      <c r="E44" s="13">
        <f>'C５级比赛'!E44*15</f>
        <v>12818.0334025012</v>
      </c>
      <c r="F44" s="13">
        <f>'C５级比赛'!F44*15</f>
        <v>11985.69357117</v>
      </c>
      <c r="G44" s="13">
        <f>'C５级比赛'!G44*15</f>
        <v>9988.077975975</v>
      </c>
      <c r="H44" s="13">
        <f>'C５级比赛'!H44*15</f>
        <v>8561.20969369286</v>
      </c>
      <c r="I44" s="13">
        <f>'C５级比赛'!I44*15</f>
        <v>7491.05848198125</v>
      </c>
      <c r="J44" s="13">
        <f>'C５级比赛'!J44*15</f>
        <v>6658.71865065</v>
      </c>
      <c r="K44" s="13">
        <f>'C５级比赛'!K44*15</f>
        <v>5992.846785585</v>
      </c>
      <c r="L44" s="13">
        <f>'C５级比赛'!L44*15</f>
        <v>5448.04253235</v>
      </c>
      <c r="M44" s="13">
        <f>'C５级比赛'!M44*15</f>
        <v>4994.0389879875</v>
      </c>
      <c r="N44" s="13">
        <f>'C５级比赛'!N44*15</f>
        <v>4609.88214275769</v>
      </c>
      <c r="O44" s="13">
        <f>'C５级比赛'!O44*15</f>
        <v>4280.60484684643</v>
      </c>
      <c r="P44" s="13">
        <f>'C５级比赛'!P44*15</f>
        <v>3995.23119039</v>
      </c>
      <c r="Q44" s="13">
        <f>'C５级比赛'!Q44*15</f>
        <v>3745.52924099063</v>
      </c>
      <c r="R44" s="13">
        <f>'C５级比赛'!R44*15</f>
        <v>3329.359325325</v>
      </c>
      <c r="S44" s="13">
        <f>'C５级比赛'!S44*15</f>
        <v>2996.4233927925</v>
      </c>
      <c r="T44" s="13">
        <f>'C５级比赛'!T44*15</f>
        <v>2304.94107137885</v>
      </c>
      <c r="U44" s="13">
        <f>'C５级比赛'!U44*15</f>
        <v>1997.615595195</v>
      </c>
      <c r="V44" s="13">
        <f>'C５级比赛'!V44*15</f>
        <v>1461.66994770366</v>
      </c>
      <c r="W44" s="13">
        <f>'C５级比赛'!W44*15</f>
        <v>1175.06799717353</v>
      </c>
      <c r="X44" s="13">
        <f>'C５级比赛'!X44*15</f>
        <v>982.433899276229</v>
      </c>
      <c r="Y44" s="13">
        <f>'C５级比赛'!Y44*15</f>
        <v>844.062927547183</v>
      </c>
      <c r="Z44" s="13">
        <f>'C５级比赛'!Z44*15</f>
        <v>739.85762785</v>
      </c>
      <c r="AA44" s="13">
        <f>'C５级比赛'!AA44*15</f>
        <v>658.554591822528</v>
      </c>
      <c r="AB44" s="13">
        <f>'C５级比赛'!AB44*15</f>
        <v>599.2846785585</v>
      </c>
      <c r="AC44" s="13">
        <f>'C５级比赛'!AC44*15</f>
        <v>495.27659385</v>
      </c>
      <c r="AD44" s="13">
        <f>'C５级比赛'!AD44*15</f>
        <v>425.02459472234</v>
      </c>
      <c r="AE44" s="13">
        <f>'C５级比赛'!AE44*15</f>
        <v>372.226508421429</v>
      </c>
      <c r="AF44" s="29">
        <f>'C５级比赛'!AF44*15</f>
        <v>331.096507490884</v>
      </c>
      <c r="AG44" s="29">
        <f>'C５级比赛'!AG44*15</f>
        <v>298.151581372388</v>
      </c>
      <c r="AH44" s="29">
        <f>'C５级比赛'!AH44*15</f>
        <v>199.097899853322</v>
      </c>
      <c r="AI44" s="29">
        <f>'C５级比赛'!AI44*15</f>
        <v>149.447550762718</v>
      </c>
      <c r="AJ44" s="29">
        <f>'C５级比赛'!AJ44*15</f>
        <v>119.617700311078</v>
      </c>
      <c r="AK44" s="29">
        <f>'C５级比赛'!AK44*15</f>
        <v>79.7982261729028</v>
      </c>
      <c r="AL44" s="29">
        <f>'C５级比赛'!AL44*15</f>
        <v>58.2055826105769</v>
      </c>
      <c r="AM44" s="29">
        <f>'C５级比赛'!AM44*15</f>
        <v>38.8166476969937</v>
      </c>
      <c r="AN44" s="29">
        <f>'C５级比赛'!AN44*15</f>
        <v>29.1173354288793</v>
      </c>
      <c r="AO44" s="29">
        <f>'C５级比赛'!AO44*15</f>
        <v>19.4147911340178</v>
      </c>
      <c r="AP44" s="29">
        <f>'C５级比赛'!AP44*15</f>
        <v>14.562306471679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</row>
    <row r="45" spans="1:121">
      <c r="A45" s="22" t="s">
        <v>83</v>
      </c>
      <c r="B45" s="16">
        <f>'C５级比赛'!B45*15</f>
        <v>16646.796626625</v>
      </c>
      <c r="C45" s="16">
        <f>'C５级比赛'!C45*15</f>
        <v>15148.5849302287</v>
      </c>
      <c r="D45" s="16">
        <f>'C５级比赛'!D45*15</f>
        <v>13733.6072169656</v>
      </c>
      <c r="E45" s="16">
        <f>'C５级比赛'!E45*15</f>
        <v>12818.0334025012</v>
      </c>
      <c r="F45" s="16">
        <f>'C５级比赛'!F45*15</f>
        <v>11985.69357117</v>
      </c>
      <c r="G45" s="16">
        <f>'C５级比赛'!G45*15</f>
        <v>9988.077975975</v>
      </c>
      <c r="H45" s="16">
        <f>'C５级比赛'!H45*15</f>
        <v>8561.20969369286</v>
      </c>
      <c r="I45" s="16">
        <f>'C５级比赛'!I45*15</f>
        <v>7491.05848198125</v>
      </c>
      <c r="J45" s="16">
        <f>'C５级比赛'!J45*15</f>
        <v>6658.71865065</v>
      </c>
      <c r="K45" s="16">
        <f>'C５级比赛'!K45*15</f>
        <v>5992.846785585</v>
      </c>
      <c r="L45" s="16">
        <f>'C５级比赛'!L45*15</f>
        <v>5448.04253235</v>
      </c>
      <c r="M45" s="16">
        <f>'C５级比赛'!M45*15</f>
        <v>4994.0389879875</v>
      </c>
      <c r="N45" s="16">
        <f>'C５级比赛'!N45*15</f>
        <v>4609.88214275769</v>
      </c>
      <c r="O45" s="16">
        <f>'C５级比赛'!O45*15</f>
        <v>4280.60484684643</v>
      </c>
      <c r="P45" s="16">
        <f>'C５级比赛'!P45*15</f>
        <v>3995.23119039</v>
      </c>
      <c r="Q45" s="16">
        <f>'C５级比赛'!Q45*15</f>
        <v>3745.52924099063</v>
      </c>
      <c r="R45" s="16">
        <f>'C５级比赛'!R45*15</f>
        <v>3329.359325325</v>
      </c>
      <c r="S45" s="16">
        <f>'C５级比赛'!S45*15</f>
        <v>2996.4233927925</v>
      </c>
      <c r="T45" s="16">
        <f>'C５级比赛'!T45*15</f>
        <v>2304.94107137885</v>
      </c>
      <c r="U45" s="16">
        <f>'C５级比赛'!U45*15</f>
        <v>1997.615595195</v>
      </c>
      <c r="V45" s="16">
        <f>'C５级比赛'!V45*15</f>
        <v>1461.66994770366</v>
      </c>
      <c r="W45" s="16">
        <f>'C５级比赛'!W45*15</f>
        <v>1175.06799717353</v>
      </c>
      <c r="X45" s="16">
        <f>'C５级比赛'!X45*15</f>
        <v>982.433899276229</v>
      </c>
      <c r="Y45" s="16">
        <f>'C５级比赛'!Y45*15</f>
        <v>844.062927547183</v>
      </c>
      <c r="Z45" s="16">
        <f>'C５级比赛'!Z45*15</f>
        <v>739.85762785</v>
      </c>
      <c r="AA45" s="16">
        <f>'C５级比赛'!AA45*15</f>
        <v>658.554591822528</v>
      </c>
      <c r="AB45" s="16">
        <f>'C５级比赛'!AB45*15</f>
        <v>599.2846785585</v>
      </c>
      <c r="AC45" s="16">
        <f>'C５级比赛'!AC45*15</f>
        <v>495.27659385</v>
      </c>
      <c r="AD45" s="16">
        <f>'C５级比赛'!AD45*15</f>
        <v>425.02459472234</v>
      </c>
      <c r="AE45" s="16">
        <f>'C５级比赛'!AE45*15</f>
        <v>372.226508421429</v>
      </c>
      <c r="AF45" s="25">
        <f>'C５级比赛'!AF45*15</f>
        <v>331.096507490884</v>
      </c>
      <c r="AG45" s="25">
        <f>'C５级比赛'!AG45*15</f>
        <v>298.151581372388</v>
      </c>
      <c r="AH45" s="25">
        <f>'C５级比赛'!AH45*15</f>
        <v>199.097899853322</v>
      </c>
      <c r="AI45" s="25">
        <f>'C５级比赛'!AI45*15</f>
        <v>149.447550762718</v>
      </c>
      <c r="AJ45" s="25">
        <f>'C５级比赛'!AJ45*15</f>
        <v>119.617700311078</v>
      </c>
      <c r="AK45" s="25">
        <f>'C５级比赛'!AK45*15</f>
        <v>79.7982261729028</v>
      </c>
      <c r="AL45" s="25">
        <f>'C５级比赛'!AL45*15</f>
        <v>58.2055826105769</v>
      </c>
      <c r="AM45" s="25">
        <f>'C５级比赛'!AM45*15</f>
        <v>38.8166476969937</v>
      </c>
      <c r="AN45" s="25">
        <f>'C５级比赛'!AN45*15</f>
        <v>29.1173354288793</v>
      </c>
      <c r="AO45" s="25">
        <f>'C５级比赛'!AO45*15</f>
        <v>19.4147911340178</v>
      </c>
      <c r="AP45" s="25">
        <f>'C５级比赛'!AP45*15</f>
        <v>14.562306471679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conditionalFormatting sqref="1:1048576">
    <cfRule type="cellIs" dxfId="4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L67"/>
  <sheetViews>
    <sheetView topLeftCell="A13" workbookViewId="0">
      <selection activeCell="AL38" sqref="AL38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87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'C５级比赛'!B4*12</f>
        <v>60</v>
      </c>
      <c r="C4" s="38">
        <v>60</v>
      </c>
      <c r="D4" s="15">
        <v>30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'C５级比赛'!B5*12</f>
        <v>72</v>
      </c>
      <c r="C5" s="18">
        <f>'C５级比赛'!C5*12</f>
        <v>50.4</v>
      </c>
      <c r="D5" s="38">
        <f>'C５级比赛'!D5*12</f>
        <v>122.4</v>
      </c>
      <c r="E5" s="15">
        <f>'C５级比赛'!E5*12</f>
        <v>30.6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'C５级比赛'!B6*12</f>
        <v>84</v>
      </c>
      <c r="C6" s="18">
        <f>'C５级比赛'!C6*12</f>
        <v>58.8</v>
      </c>
      <c r="D6" s="16">
        <f>'C５级比赛'!D6*12</f>
        <v>42</v>
      </c>
      <c r="E6" s="38">
        <f>'C５级比赛'!E6*12</f>
        <v>184.8</v>
      </c>
      <c r="F6" s="15">
        <f>'C５级比赛'!F6*12</f>
        <v>30.8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50">
      <c r="A7" s="17" t="s">
        <v>45</v>
      </c>
      <c r="B7" s="18">
        <f>'C５级比赛'!B7*12</f>
        <v>102</v>
      </c>
      <c r="C7" s="18">
        <f>'C５级比赛'!C7*12</f>
        <v>71.4</v>
      </c>
      <c r="D7" s="16">
        <f>'C５级比赛'!D7*12</f>
        <v>51</v>
      </c>
      <c r="E7" s="16">
        <f>'C５级比赛'!E7*12</f>
        <v>35.7</v>
      </c>
      <c r="F7" s="38">
        <f>'C５级比赛'!F7*12</f>
        <v>260.1</v>
      </c>
      <c r="G7" s="15">
        <f>'C５级比赛'!G7*12</f>
        <v>32.5125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3"/>
      <c r="AR7" s="23"/>
      <c r="AS7" s="23"/>
      <c r="AT7" s="23"/>
      <c r="AU7" s="23"/>
      <c r="AV7" s="23"/>
      <c r="AW7" s="23"/>
      <c r="AX7" s="23"/>
    </row>
    <row r="8" s="3" customFormat="1" spans="1:50">
      <c r="A8" s="19" t="s">
        <v>46</v>
      </c>
      <c r="B8" s="13">
        <f>'C５级比赛'!B8*12</f>
        <v>120</v>
      </c>
      <c r="C8" s="13">
        <f>'C５级比赛'!C8*12</f>
        <v>84</v>
      </c>
      <c r="D8" s="13">
        <f>'C５级比赛'!D8*12</f>
        <v>60</v>
      </c>
      <c r="E8" s="13">
        <f>'C５级比赛'!E8*12</f>
        <v>42</v>
      </c>
      <c r="F8" s="13">
        <f>'C５级比赛'!F8*12</f>
        <v>24</v>
      </c>
      <c r="G8" s="38">
        <f>'C５级比赛'!G8*12</f>
        <v>330</v>
      </c>
      <c r="H8" s="15">
        <f>'C５级比赛'!H8*12</f>
        <v>33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90">
      <c r="A9" s="17" t="s">
        <v>47</v>
      </c>
      <c r="B9" s="18">
        <f>'C５级比赛'!B9*12</f>
        <v>144</v>
      </c>
      <c r="C9" s="18">
        <f>'C５级比赛'!C9*12</f>
        <v>100.8</v>
      </c>
      <c r="D9" s="16">
        <f>'C５级比赛'!D9*12</f>
        <v>72</v>
      </c>
      <c r="E9" s="16">
        <f>'C５级比赛'!E9*12</f>
        <v>50.4</v>
      </c>
      <c r="F9" s="16">
        <f>'C５级比赛'!F9*12</f>
        <v>28.8</v>
      </c>
      <c r="G9" s="16">
        <f>'C５级比赛'!G9*12</f>
        <v>24</v>
      </c>
      <c r="H9" s="38">
        <f>'C５级比赛'!H9*12</f>
        <v>420</v>
      </c>
      <c r="I9" s="15">
        <f>'C５级比赛'!I9*12</f>
        <v>35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</row>
    <row r="10" spans="1:90">
      <c r="A10" s="20" t="s">
        <v>48</v>
      </c>
      <c r="B10" s="18">
        <f>'C５级比赛'!B10*12</f>
        <v>162</v>
      </c>
      <c r="C10" s="18">
        <f>'C５级比赛'!C10*12</f>
        <v>113.4</v>
      </c>
      <c r="D10" s="16">
        <f>'C５级比赛'!D10*12</f>
        <v>81</v>
      </c>
      <c r="E10" s="16">
        <f>'C５级比赛'!E10*12</f>
        <v>56.7</v>
      </c>
      <c r="F10" s="16">
        <f>'C５级比赛'!F10*12</f>
        <v>32.4</v>
      </c>
      <c r="G10" s="16">
        <f>'C５级比赛'!G10*12</f>
        <v>27</v>
      </c>
      <c r="H10" s="16">
        <f>'C５级比赛'!H10*12</f>
        <v>23.1428571428571</v>
      </c>
      <c r="I10" s="38">
        <f>'C５级比赛'!I10*12</f>
        <v>495.642857142857</v>
      </c>
      <c r="J10" s="15">
        <f>'C５级比赛'!J10*12</f>
        <v>35.4030612244898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</row>
    <row r="11" spans="1:90">
      <c r="A11" s="20" t="s">
        <v>49</v>
      </c>
      <c r="B11" s="18">
        <f>'C５级比赛'!B11*12</f>
        <v>186</v>
      </c>
      <c r="C11" s="18">
        <f>'C５级比赛'!C11*12</f>
        <v>130.2</v>
      </c>
      <c r="D11" s="16">
        <f>'C５级比赛'!D11*12</f>
        <v>93</v>
      </c>
      <c r="E11" s="16">
        <f>'C５级比赛'!E11*12</f>
        <v>65.1</v>
      </c>
      <c r="F11" s="16">
        <f>'C５级比赛'!F11*12</f>
        <v>37.2</v>
      </c>
      <c r="G11" s="16">
        <f>'C５级比赛'!G11*12</f>
        <v>31</v>
      </c>
      <c r="H11" s="16">
        <f>'C５级比赛'!H11*12</f>
        <v>26.5714285714286</v>
      </c>
      <c r="I11" s="16">
        <f>'C５级比赛'!I11*12</f>
        <v>23.25</v>
      </c>
      <c r="J11" s="38">
        <f>'C５级比赛'!J11*12</f>
        <v>592.321428571429</v>
      </c>
      <c r="K11" s="15">
        <f>'C５级比赛'!K11*12</f>
        <v>37.0200892857143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</row>
    <row r="12" spans="1:90">
      <c r="A12" s="20" t="s">
        <v>50</v>
      </c>
      <c r="B12" s="18">
        <f>'C５级比赛'!B12*12</f>
        <v>204</v>
      </c>
      <c r="C12" s="18">
        <f>'C５级比赛'!C12*12</f>
        <v>142.8</v>
      </c>
      <c r="D12" s="16">
        <f>'C５级比赛'!D12*12</f>
        <v>102</v>
      </c>
      <c r="E12" s="16">
        <f>'C５级比赛'!E12*12</f>
        <v>71.4</v>
      </c>
      <c r="F12" s="16">
        <f>'C５级比赛'!F12*12</f>
        <v>40.8</v>
      </c>
      <c r="G12" s="16">
        <f>'C５级比赛'!G12*12</f>
        <v>34</v>
      </c>
      <c r="H12" s="16">
        <f>'C５级比赛'!H12*12</f>
        <v>29.1428571428571</v>
      </c>
      <c r="I12" s="16">
        <f>'C５级比赛'!I12*12</f>
        <v>25.5</v>
      </c>
      <c r="J12" s="16">
        <f>'C５级比赛'!J12*12</f>
        <v>22.6666666666667</v>
      </c>
      <c r="K12" s="38">
        <f>'C５级比赛'!K12*12</f>
        <v>672.309523809524</v>
      </c>
      <c r="L12" s="15">
        <f>'C５级比赛'!L12*12</f>
        <v>37.3505291005291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="3" customFormat="1" spans="1:50">
      <c r="A13" s="21" t="s">
        <v>51</v>
      </c>
      <c r="B13" s="18">
        <f>'C５级比赛'!B13*12</f>
        <v>222</v>
      </c>
      <c r="C13" s="18">
        <f>'C５级比赛'!C13*12</f>
        <v>155.4</v>
      </c>
      <c r="D13" s="16">
        <f>'C５级比赛'!D13*12</f>
        <v>111</v>
      </c>
      <c r="E13" s="16">
        <f>'C５级比赛'!E13*12</f>
        <v>77.7</v>
      </c>
      <c r="F13" s="16">
        <f>'C５级比赛'!F13*12</f>
        <v>44.4</v>
      </c>
      <c r="G13" s="16">
        <f>'C５级比赛'!G13*12</f>
        <v>37</v>
      </c>
      <c r="H13" s="16">
        <f>'C５级比赛'!H13*12</f>
        <v>31.7142857142857</v>
      </c>
      <c r="I13" s="16">
        <f>'C５级比赛'!I13*12</f>
        <v>27.75</v>
      </c>
      <c r="J13" s="16">
        <f>'C５级比赛'!J13*12</f>
        <v>24.6666666666667</v>
      </c>
      <c r="K13" s="16">
        <f>'C５级比赛'!K13*12</f>
        <v>22.2</v>
      </c>
      <c r="L13" s="38">
        <f>'C５级比赛'!L13*12</f>
        <v>753.830952380953</v>
      </c>
      <c r="M13" s="15">
        <f>'C５级比赛'!M13*12</f>
        <v>37.6915476190476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90">
      <c r="A14" s="20" t="s">
        <v>52</v>
      </c>
      <c r="B14" s="18">
        <f>'C５级比赛'!B14*12</f>
        <v>240</v>
      </c>
      <c r="C14" s="18">
        <f>'C５级比赛'!C14*12</f>
        <v>168</v>
      </c>
      <c r="D14" s="16">
        <f>'C５级比赛'!D14*12</f>
        <v>120</v>
      </c>
      <c r="E14" s="16">
        <f>'C５级比赛'!E14*12</f>
        <v>84</v>
      </c>
      <c r="F14" s="16">
        <f>'C５级比赛'!F14*12</f>
        <v>48</v>
      </c>
      <c r="G14" s="16">
        <f>'C５级比赛'!G14*12</f>
        <v>40</v>
      </c>
      <c r="H14" s="16">
        <f>'C５级比赛'!H14*12</f>
        <v>34.2857142857143</v>
      </c>
      <c r="I14" s="16">
        <f>'C５级比赛'!I14*12</f>
        <v>30</v>
      </c>
      <c r="J14" s="16">
        <f>'C５级比赛'!J14*12</f>
        <v>26.6666666666667</v>
      </c>
      <c r="K14" s="16">
        <f>'C５级比赛'!K14*12</f>
        <v>24</v>
      </c>
      <c r="L14" s="16">
        <f>'C５级比赛'!L14*12</f>
        <v>21.8181818181818</v>
      </c>
      <c r="M14" s="38">
        <f>'C５级比赛'!M14*12</f>
        <v>836.770562770563</v>
      </c>
      <c r="N14" s="15">
        <f>'C５级比赛'!N14*12</f>
        <v>38.0350255804801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0">
      <c r="A15" s="20" t="s">
        <v>53</v>
      </c>
      <c r="B15" s="18">
        <f>'C５级比赛'!B15*12</f>
        <v>258</v>
      </c>
      <c r="C15" s="18">
        <f>'C５级比赛'!C15*12</f>
        <v>180.6</v>
      </c>
      <c r="D15" s="16">
        <f>'C５级比赛'!D15*12</f>
        <v>129</v>
      </c>
      <c r="E15" s="16">
        <f>'C５级比赛'!E15*12</f>
        <v>90.3</v>
      </c>
      <c r="F15" s="16">
        <f>'C５级比赛'!F15*12</f>
        <v>51.6</v>
      </c>
      <c r="G15" s="16">
        <f>'C５级比赛'!G15*12</f>
        <v>43</v>
      </c>
      <c r="H15" s="16">
        <f>'C５级比赛'!H15*12</f>
        <v>36.8571428571429</v>
      </c>
      <c r="I15" s="16">
        <f>'C５级比赛'!I15*12</f>
        <v>32.25</v>
      </c>
      <c r="J15" s="16">
        <f>'C５级比赛'!J15*12</f>
        <v>28.6666666666667</v>
      </c>
      <c r="K15" s="16">
        <f>'C５级比赛'!K15*12</f>
        <v>25.8</v>
      </c>
      <c r="L15" s="16">
        <f>'C５级比赛'!L15*12</f>
        <v>23.4545454545455</v>
      </c>
      <c r="M15" s="16">
        <f>'C５级比赛'!M15*12</f>
        <v>21.5</v>
      </c>
      <c r="N15" s="38">
        <f>'C５级比赛'!N15*12</f>
        <v>921.028354978355</v>
      </c>
      <c r="O15" s="15">
        <f>'C５级比赛'!O15*12</f>
        <v>38.3761814574315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</row>
    <row r="16" spans="1:90">
      <c r="A16" s="20" t="s">
        <v>54</v>
      </c>
      <c r="B16" s="18">
        <f>'C５级比赛'!B16*12</f>
        <v>273.6</v>
      </c>
      <c r="C16" s="18">
        <f>'C５级比赛'!C16*12</f>
        <v>191.52</v>
      </c>
      <c r="D16" s="16">
        <f>'C５级比赛'!D16*12</f>
        <v>136.8</v>
      </c>
      <c r="E16" s="16">
        <f>'C５级比赛'!E16*12</f>
        <v>95.76</v>
      </c>
      <c r="F16" s="16">
        <f>'C５级比赛'!F16*12</f>
        <v>54.72</v>
      </c>
      <c r="G16" s="16">
        <f>'C５级比赛'!G16*12</f>
        <v>45.6</v>
      </c>
      <c r="H16" s="16">
        <f>'C５级比赛'!H16*12</f>
        <v>39.0857142857143</v>
      </c>
      <c r="I16" s="16">
        <f>'C５级比赛'!I16*12</f>
        <v>34.2</v>
      </c>
      <c r="J16" s="16">
        <f>'C５级比赛'!J16*12</f>
        <v>30.4</v>
      </c>
      <c r="K16" s="16">
        <f>'C５级比赛'!K16*12</f>
        <v>27.36</v>
      </c>
      <c r="L16" s="16">
        <f>'C５级比赛'!L16*12</f>
        <v>24.8727272727273</v>
      </c>
      <c r="M16" s="16">
        <f>'C５级比赛'!M16*12</f>
        <v>22.8</v>
      </c>
      <c r="N16" s="16">
        <f>'C５级比赛'!N16*12</f>
        <v>21.0461538461538</v>
      </c>
      <c r="O16" s="38">
        <f>'C５级比赛'!O16*12</f>
        <v>997.764595404595</v>
      </c>
      <c r="P16" s="15">
        <f>'C５级比赛'!P16*12</f>
        <v>38.3755613617152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</row>
    <row r="17" spans="1:90">
      <c r="A17" s="20" t="s">
        <v>55</v>
      </c>
      <c r="B17" s="18">
        <f>'C５级比赛'!B17*12</f>
        <v>292.8</v>
      </c>
      <c r="C17" s="18">
        <f>'C５级比赛'!C17*12</f>
        <v>204.96</v>
      </c>
      <c r="D17" s="16">
        <f>'C５级比赛'!D17*12</f>
        <v>146.4</v>
      </c>
      <c r="E17" s="16">
        <f>'C５级比赛'!E17*12</f>
        <v>102.48</v>
      </c>
      <c r="F17" s="16">
        <f>'C５级比赛'!F17*12</f>
        <v>58.56</v>
      </c>
      <c r="G17" s="16">
        <f>'C５级比赛'!G17*12</f>
        <v>48.8</v>
      </c>
      <c r="H17" s="16">
        <f>'C５级比赛'!H17*12</f>
        <v>41.8285714285714</v>
      </c>
      <c r="I17" s="16">
        <f>'C５级比赛'!I17*12</f>
        <v>36.6</v>
      </c>
      <c r="J17" s="16">
        <f>'C５级比赛'!J17*12</f>
        <v>32.5333333333333</v>
      </c>
      <c r="K17" s="16">
        <f>'C５级比赛'!K17*12</f>
        <v>29.28</v>
      </c>
      <c r="L17" s="16">
        <f>'C５级比赛'!L17*12</f>
        <v>26.6181818181818</v>
      </c>
      <c r="M17" s="16">
        <f>'C５级比赛'!M17*12</f>
        <v>24.4</v>
      </c>
      <c r="N17" s="16">
        <f>'C５级比赛'!N17*12</f>
        <v>22.5230769230769</v>
      </c>
      <c r="O17" s="16">
        <f>'C５级比赛'!O17*12</f>
        <v>20.9142857142857</v>
      </c>
      <c r="P17" s="38">
        <f>'C５级比赛'!P17*12</f>
        <v>1088.69744921745</v>
      </c>
      <c r="Q17" s="15">
        <f>'C５级比赛'!Q17*12</f>
        <v>38.882051757766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</row>
    <row r="18" spans="1:90">
      <c r="A18" s="20" t="s">
        <v>56</v>
      </c>
      <c r="B18" s="18">
        <f>'C５级比赛'!B18*12</f>
        <v>312</v>
      </c>
      <c r="C18" s="18">
        <f>'C５级比赛'!C18*12</f>
        <v>218.4</v>
      </c>
      <c r="D18" s="16">
        <f>'C５级比赛'!D18*12</f>
        <v>156</v>
      </c>
      <c r="E18" s="16">
        <f>'C５级比赛'!E18*12</f>
        <v>109.2</v>
      </c>
      <c r="F18" s="16">
        <f>'C５级比赛'!F18*12</f>
        <v>62.4</v>
      </c>
      <c r="G18" s="16">
        <f>'C５级比赛'!G18*12</f>
        <v>52</v>
      </c>
      <c r="H18" s="16">
        <f>'C５级比赛'!H18*12</f>
        <v>44.5714285714286</v>
      </c>
      <c r="I18" s="16">
        <f>'C５级比赛'!I18*12</f>
        <v>39</v>
      </c>
      <c r="J18" s="16">
        <f>'C５级比赛'!J18*12</f>
        <v>34.6666666666667</v>
      </c>
      <c r="K18" s="16">
        <f>'C５级比赛'!K18*12</f>
        <v>31.2</v>
      </c>
      <c r="L18" s="16">
        <f>'C５级比赛'!L18*12</f>
        <v>28.3636363636364</v>
      </c>
      <c r="M18" s="16">
        <f>'C５级比赛'!M18*12</f>
        <v>26</v>
      </c>
      <c r="N18" s="16">
        <f>'C５级比赛'!N18*12</f>
        <v>24</v>
      </c>
      <c r="O18" s="16">
        <f>'C５级比赛'!O18*12</f>
        <v>22.2857142857143</v>
      </c>
      <c r="P18" s="16">
        <f>'C５级比赛'!P18*12</f>
        <v>20.8</v>
      </c>
      <c r="Q18" s="38">
        <f>'C５级比赛'!Q18*12</f>
        <v>1180.88744588745</v>
      </c>
      <c r="R18" s="15">
        <f>'C５级比赛'!R18*12</f>
        <v>39.3629148629149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</row>
    <row r="19" spans="1:90">
      <c r="A19" s="20" t="s">
        <v>57</v>
      </c>
      <c r="B19" s="18">
        <f>'C５级比赛'!B19*12</f>
        <v>354</v>
      </c>
      <c r="C19" s="18">
        <f>'C５级比赛'!C19*12</f>
        <v>247.8</v>
      </c>
      <c r="D19" s="16">
        <f>'C５级比赛'!D19*12</f>
        <v>177</v>
      </c>
      <c r="E19" s="16">
        <f>'C５级比赛'!E19*12</f>
        <v>123.9</v>
      </c>
      <c r="F19" s="16">
        <f>'C５级比赛'!F19*12</f>
        <v>70.8</v>
      </c>
      <c r="G19" s="16">
        <f>'C５级比赛'!G19*12</f>
        <v>59</v>
      </c>
      <c r="H19" s="16">
        <f>'C５级比赛'!H19*12</f>
        <v>50.5714285714286</v>
      </c>
      <c r="I19" s="16">
        <f>'C５级比赛'!I19*12</f>
        <v>44.25</v>
      </c>
      <c r="J19" s="16">
        <f>'C５级比赛'!J19*12</f>
        <v>39.3333333333333</v>
      </c>
      <c r="K19" s="16">
        <f>'C５级比赛'!K19*12</f>
        <v>35.4</v>
      </c>
      <c r="L19" s="16">
        <f>'C５级比赛'!L19*12</f>
        <v>32.1818181818182</v>
      </c>
      <c r="M19" s="16">
        <f>'C５级比赛'!M19*12</f>
        <v>29.5</v>
      </c>
      <c r="N19" s="16">
        <f>'C５级比赛'!N19*12</f>
        <v>27.2307692307692</v>
      </c>
      <c r="O19" s="16">
        <f>'C５级比赛'!O19*12</f>
        <v>25.2857142857143</v>
      </c>
      <c r="P19" s="16">
        <f>'C５级比赛'!P19*12</f>
        <v>23.6</v>
      </c>
      <c r="Q19" s="16">
        <f>'C５级比赛'!Q19*12</f>
        <v>22.125</v>
      </c>
      <c r="R19" s="38">
        <f>'C５级比赛'!R19*12</f>
        <v>1384.10306360306</v>
      </c>
      <c r="S19" s="15">
        <f>'C５级比赛'!S19*12</f>
        <v>39.5458018172304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</row>
    <row r="20" spans="1:90">
      <c r="A20" s="20" t="s">
        <v>58</v>
      </c>
      <c r="B20" s="18">
        <f>'C５级比赛'!B20*12</f>
        <v>402</v>
      </c>
      <c r="C20" s="18">
        <f>'C５级比赛'!C20*12</f>
        <v>281.4</v>
      </c>
      <c r="D20" s="16">
        <f>'C５级比赛'!D20*12</f>
        <v>201</v>
      </c>
      <c r="E20" s="16">
        <f>'C５级比赛'!E20*12</f>
        <v>140.7</v>
      </c>
      <c r="F20" s="16">
        <f>'C５级比赛'!F20*12</f>
        <v>80.4</v>
      </c>
      <c r="G20" s="16">
        <f>'C５级比赛'!G20*12</f>
        <v>67</v>
      </c>
      <c r="H20" s="16">
        <f>'C５级比赛'!H20*12</f>
        <v>57.4285714285714</v>
      </c>
      <c r="I20" s="16">
        <f>'C５级比赛'!I20*12</f>
        <v>50.25</v>
      </c>
      <c r="J20" s="16">
        <f>'C５级比赛'!J20*12</f>
        <v>44.6666666666667</v>
      </c>
      <c r="K20" s="16">
        <f>'C５级比赛'!K20*12</f>
        <v>40.2</v>
      </c>
      <c r="L20" s="16">
        <f>'C５级比赛'!L20*12</f>
        <v>36.5454545454545</v>
      </c>
      <c r="M20" s="16">
        <f>'C５级比赛'!M20*12</f>
        <v>33.5</v>
      </c>
      <c r="N20" s="16">
        <f>'C５级比赛'!N20*12</f>
        <v>30.9230769230769</v>
      </c>
      <c r="O20" s="16">
        <f>'C５级比赛'!O20*12</f>
        <v>28.7142857142857</v>
      </c>
      <c r="P20" s="16">
        <f>'C５级比赛'!P20*12</f>
        <v>26.8</v>
      </c>
      <c r="Q20" s="16">
        <f>'C５级比赛'!Q20*12</f>
        <v>25.125</v>
      </c>
      <c r="R20" s="16">
        <f>'C５级比赛'!R20*12</f>
        <v>22.3333333333333</v>
      </c>
      <c r="S20" s="38">
        <f>'C５级比赛'!S20*12</f>
        <v>1638.77805527806</v>
      </c>
      <c r="T20" s="15">
        <f>'C５级比赛'!T20*12</f>
        <v>39.9701964701965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</row>
    <row r="21" spans="1:90">
      <c r="A21" s="20" t="s">
        <v>59</v>
      </c>
      <c r="B21" s="18">
        <f>'C５级比赛'!B21*12</f>
        <v>471.6</v>
      </c>
      <c r="C21" s="18">
        <f>'C５级比赛'!C21*12</f>
        <v>331.2</v>
      </c>
      <c r="D21" s="16">
        <f>'C５级比赛'!D21*12</f>
        <v>235.8</v>
      </c>
      <c r="E21" s="16">
        <f>'C５级比赛'!E21*12</f>
        <v>165.06</v>
      </c>
      <c r="F21" s="16">
        <f>'C５级比赛'!F21*12</f>
        <v>94.32</v>
      </c>
      <c r="G21" s="16">
        <f>'C５级比赛'!G21*12</f>
        <v>78.6</v>
      </c>
      <c r="H21" s="16">
        <f>'C５级比赛'!H21*12</f>
        <v>67.3714285714286</v>
      </c>
      <c r="I21" s="16">
        <f>'C５级比赛'!I21*12</f>
        <v>58.95</v>
      </c>
      <c r="J21" s="16">
        <f>'C５级比赛'!J21*12</f>
        <v>52.4</v>
      </c>
      <c r="K21" s="16">
        <f>'C５级比赛'!K21*12</f>
        <v>47.16</v>
      </c>
      <c r="L21" s="16">
        <f>'C５级比赛'!L21*12</f>
        <v>42.8727272727273</v>
      </c>
      <c r="M21" s="16">
        <f>'C５级比赛'!M21*12</f>
        <v>39.3</v>
      </c>
      <c r="N21" s="16">
        <f>'C５级比赛'!N21*12</f>
        <v>36.2769230769231</v>
      </c>
      <c r="O21" s="16">
        <f>'C５级比赛'!O21*12</f>
        <v>33.6857142857143</v>
      </c>
      <c r="P21" s="16">
        <f>'C５级比赛'!P21*12</f>
        <v>31.44</v>
      </c>
      <c r="Q21" s="16">
        <f>'C５级比赛'!Q21*12</f>
        <v>29.475</v>
      </c>
      <c r="R21" s="16">
        <f>'C５级比赛'!R21*12</f>
        <v>26.2</v>
      </c>
      <c r="S21" s="16">
        <f>'C５级比赛'!S21*12</f>
        <v>23.58</v>
      </c>
      <c r="T21" s="38">
        <f>'C５级比赛'!T21*12</f>
        <v>2041.48679320679</v>
      </c>
      <c r="U21" s="15">
        <f>'C５级比赛'!U21*12</f>
        <v>40.0291528079763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</row>
    <row r="22" spans="1:90">
      <c r="A22" s="17" t="s">
        <v>60</v>
      </c>
      <c r="B22" s="18">
        <f>'C５级比赛'!B22*12</f>
        <v>542.4</v>
      </c>
      <c r="C22" s="18">
        <f>'C５级比赛'!C22*12</f>
        <v>379.68</v>
      </c>
      <c r="D22" s="16">
        <f>'C５级比赛'!D22*12</f>
        <v>271.2</v>
      </c>
      <c r="E22" s="16">
        <f>'C５级比赛'!E22*12</f>
        <v>189.84</v>
      </c>
      <c r="F22" s="16">
        <f>'C５级比赛'!F22*12</f>
        <v>108.48</v>
      </c>
      <c r="G22" s="16">
        <f>'C５级比赛'!G22*12</f>
        <v>90.4</v>
      </c>
      <c r="H22" s="16">
        <f>'C５级比赛'!H22*12</f>
        <v>77.4857142857143</v>
      </c>
      <c r="I22" s="16">
        <f>'C５级比赛'!I22*12</f>
        <v>67.8</v>
      </c>
      <c r="J22" s="16">
        <f>'C５级比赛'!J22*12</f>
        <v>60.2666666666667</v>
      </c>
      <c r="K22" s="16">
        <f>'C５级比赛'!K22*12</f>
        <v>54.24</v>
      </c>
      <c r="L22" s="16">
        <f>'C５级比赛'!L22*12</f>
        <v>49.3090909090909</v>
      </c>
      <c r="M22" s="16">
        <f>'C５级比赛'!M22*12</f>
        <v>45.2</v>
      </c>
      <c r="N22" s="16">
        <f>'C５级比赛'!N22*12</f>
        <v>41.7230769230769</v>
      </c>
      <c r="O22" s="16">
        <f>'C５级比赛'!O22*12</f>
        <v>38.7428571428571</v>
      </c>
      <c r="P22" s="16">
        <f>'C５级比赛'!P22*12</f>
        <v>36.16</v>
      </c>
      <c r="Q22" s="16">
        <f>'C５级比赛'!Q22*12</f>
        <v>33.9</v>
      </c>
      <c r="R22" s="16">
        <f>'C５级比赛'!R22*12</f>
        <v>30.1333333333333</v>
      </c>
      <c r="S22" s="16">
        <f>'C５级比赛'!S22*12</f>
        <v>27.12</v>
      </c>
      <c r="T22" s="16">
        <f>'C５级比赛'!T22*12</f>
        <v>20.8615384615385</v>
      </c>
      <c r="U22" s="38">
        <f>'C５级比赛'!U22*12</f>
        <v>2451.0350982351</v>
      </c>
      <c r="V22" s="15">
        <f>'C５级比赛'!V22*12</f>
        <v>40.1809032497557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</row>
    <row r="23" spans="1:90">
      <c r="A23" s="17" t="s">
        <v>61</v>
      </c>
      <c r="B23" s="18">
        <f>'C５级比赛'!B23*12</f>
        <v>672</v>
      </c>
      <c r="C23" s="18">
        <f>'C５级比赛'!C23*12</f>
        <v>470.4</v>
      </c>
      <c r="D23" s="16">
        <f>'C５级比赛'!D23*12</f>
        <v>336</v>
      </c>
      <c r="E23" s="16">
        <f>'C５级比赛'!E23*12</f>
        <v>235.2</v>
      </c>
      <c r="F23" s="16">
        <f>'C５级比赛'!F23*12</f>
        <v>134.4</v>
      </c>
      <c r="G23" s="16">
        <f>'C５级比赛'!G23*12</f>
        <v>112</v>
      </c>
      <c r="H23" s="16">
        <f>'C５级比赛'!H23*12</f>
        <v>96</v>
      </c>
      <c r="I23" s="16">
        <f>'C５级比赛'!I23*12</f>
        <v>84</v>
      </c>
      <c r="J23" s="16">
        <f>'C５级比赛'!J23*12</f>
        <v>74.6666666666667</v>
      </c>
      <c r="K23" s="16">
        <f>'C５级比赛'!K23*12</f>
        <v>67.2</v>
      </c>
      <c r="L23" s="16">
        <f>'C５级比赛'!L23*12</f>
        <v>61.0909090909091</v>
      </c>
      <c r="M23" s="16">
        <f>'C５级比赛'!M23*12</f>
        <v>56</v>
      </c>
      <c r="N23" s="16">
        <f>'C５级比赛'!N23*12</f>
        <v>51.6923076923077</v>
      </c>
      <c r="O23" s="16">
        <f>'C５级比赛'!O23*12</f>
        <v>48</v>
      </c>
      <c r="P23" s="16">
        <f>'C５级比赛'!P23*12</f>
        <v>44.8</v>
      </c>
      <c r="Q23" s="16">
        <f>'C５级比赛'!Q23*12</f>
        <v>42</v>
      </c>
      <c r="R23" s="16">
        <f>'C５级比赛'!R23*12</f>
        <v>37.3333333333333</v>
      </c>
      <c r="S23" s="16">
        <f>'C５级比赛'!S23*12</f>
        <v>33.6</v>
      </c>
      <c r="T23" s="16">
        <f>'C５级比赛'!T23*12</f>
        <v>25.8461538461538</v>
      </c>
      <c r="U23" s="16">
        <f>'C５级比赛'!U23*12</f>
        <v>22.4</v>
      </c>
      <c r="V23" s="38">
        <f>'C５级比赛'!V23*12</f>
        <v>3260.68065268065</v>
      </c>
      <c r="W23" s="15">
        <f>'C５级比赛'!W23*12</f>
        <v>40.2553166997611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</row>
    <row r="24" s="37" customFormat="1" spans="1:90">
      <c r="A24" s="19" t="s">
        <v>62</v>
      </c>
      <c r="B24" s="13">
        <f>'C５级比赛'!B24*12</f>
        <v>828</v>
      </c>
      <c r="C24" s="13">
        <f>'C５级比赛'!C24*12</f>
        <v>579.6</v>
      </c>
      <c r="D24" s="13">
        <f>'C５级比赛'!D24*12</f>
        <v>414</v>
      </c>
      <c r="E24" s="13">
        <f>'C５级比赛'!E24*12</f>
        <v>289.8</v>
      </c>
      <c r="F24" s="13">
        <f>'C５级比赛'!F24*12</f>
        <v>165.6</v>
      </c>
      <c r="G24" s="13">
        <f>'C５级比赛'!G24*12</f>
        <v>138</v>
      </c>
      <c r="H24" s="13">
        <f>'C５级比赛'!H24*12</f>
        <v>118.285714285714</v>
      </c>
      <c r="I24" s="13">
        <f>'C５级比赛'!I24*12</f>
        <v>103.5</v>
      </c>
      <c r="J24" s="13">
        <f>'C５级比赛'!J24*12</f>
        <v>92</v>
      </c>
      <c r="K24" s="13">
        <f>'C５级比赛'!K24*12</f>
        <v>82.8</v>
      </c>
      <c r="L24" s="13">
        <f>'C５级比赛'!L24*12</f>
        <v>75.2727272727273</v>
      </c>
      <c r="M24" s="13">
        <f>'C５级比赛'!M24*12</f>
        <v>69</v>
      </c>
      <c r="N24" s="13">
        <f>'C５级比赛'!N24*12</f>
        <v>63.6923076923077</v>
      </c>
      <c r="O24" s="13">
        <f>'C５级比赛'!O24*12</f>
        <v>59.1428571428571</v>
      </c>
      <c r="P24" s="13">
        <f>'C５级比赛'!P24*12</f>
        <v>55.2</v>
      </c>
      <c r="Q24" s="13">
        <f>'C５级比赛'!Q24*12</f>
        <v>51.75</v>
      </c>
      <c r="R24" s="13">
        <f>'C５级比赛'!R24*12</f>
        <v>46</v>
      </c>
      <c r="S24" s="13">
        <f>'C５级比赛'!S24*12</f>
        <v>41.4</v>
      </c>
      <c r="T24" s="13">
        <f>'C５级比赛'!T24*12</f>
        <v>31.8461538461538</v>
      </c>
      <c r="U24" s="13">
        <f>'C５级比赛'!U24*12</f>
        <v>27.6</v>
      </c>
      <c r="V24" s="13">
        <f>'C５级比赛'!V24*12</f>
        <v>20.1951219512195</v>
      </c>
      <c r="W24" s="38">
        <f>'C５级比赛'!W24*12</f>
        <v>4219.57559513657</v>
      </c>
      <c r="X24" s="15">
        <f>'C５级比赛'!X24*12</f>
        <v>41.777976189471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31"/>
      <c r="AR24" s="31"/>
      <c r="AS24" s="31"/>
      <c r="AT24" s="31"/>
      <c r="AU24" s="31"/>
      <c r="AV24" s="31"/>
      <c r="AW24" s="31"/>
      <c r="AX24" s="31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>
      <c r="A25" s="22" t="s">
        <v>63</v>
      </c>
      <c r="B25" s="16">
        <f>'C５级比赛'!B25*12</f>
        <v>955.2</v>
      </c>
      <c r="C25" s="16">
        <f>'C５级比赛'!C25*12</f>
        <v>668.64</v>
      </c>
      <c r="D25" s="16">
        <f>'C５级比赛'!D25*12</f>
        <v>477.6</v>
      </c>
      <c r="E25" s="16">
        <f>'C５级比赛'!E25*12</f>
        <v>334.32</v>
      </c>
      <c r="F25" s="16">
        <f>'C５级比赛'!F25*12</f>
        <v>191.04</v>
      </c>
      <c r="G25" s="16">
        <f>'C５级比赛'!G25*12</f>
        <v>159.2</v>
      </c>
      <c r="H25" s="16">
        <f>'C５级比赛'!H25*12</f>
        <v>136.457142857143</v>
      </c>
      <c r="I25" s="16">
        <f>'C５级比赛'!I25*12</f>
        <v>119.4</v>
      </c>
      <c r="J25" s="16">
        <f>'C５级比赛'!J25*12</f>
        <v>106.133333333333</v>
      </c>
      <c r="K25" s="16">
        <f>'C５级比赛'!K25*12</f>
        <v>95.52</v>
      </c>
      <c r="L25" s="16">
        <f>'C５级比赛'!L25*12</f>
        <v>86.8363636363636</v>
      </c>
      <c r="M25" s="16">
        <f>'C５级比赛'!M25*12</f>
        <v>79.6</v>
      </c>
      <c r="N25" s="16">
        <f>'C５级比赛'!N25*12</f>
        <v>73.4769230769231</v>
      </c>
      <c r="O25" s="16">
        <f>'C５级比赛'!O25*12</f>
        <v>68.2285714285714</v>
      </c>
      <c r="P25" s="16">
        <f>'C５级比赛'!P25*12</f>
        <v>63.68</v>
      </c>
      <c r="Q25" s="16">
        <f>'C５级比赛'!Q25*12</f>
        <v>59.7</v>
      </c>
      <c r="R25" s="16">
        <f>'C５级比赛'!R25*12</f>
        <v>53.0666666666667</v>
      </c>
      <c r="S25" s="16">
        <f>'C５级比赛'!S25*12</f>
        <v>47.76</v>
      </c>
      <c r="T25" s="16">
        <f>'C５级比赛'!T25*12</f>
        <v>36.7384615384615</v>
      </c>
      <c r="U25" s="16">
        <f>'C５级比赛'!U25*12</f>
        <v>31.84</v>
      </c>
      <c r="V25" s="16">
        <f>'C５级比赛'!V25*12</f>
        <v>23.2975609756098</v>
      </c>
      <c r="W25" s="16">
        <f>'C５级比赛'!W25*12</f>
        <v>18.7294117647059</v>
      </c>
      <c r="X25" s="38">
        <f>'C５级比赛'!X25*12</f>
        <v>5055.0943694278</v>
      </c>
      <c r="Y25" s="15">
        <f>'C５级比赛'!Y25*12</f>
        <v>41.7776394167587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</row>
    <row r="26" spans="1:90">
      <c r="A26" s="22" t="s">
        <v>64</v>
      </c>
      <c r="B26" s="16">
        <f>'C５级比赛'!B26*12</f>
        <v>1080</v>
      </c>
      <c r="C26" s="16">
        <f>'C５级比赛'!C26*12</f>
        <v>756</v>
      </c>
      <c r="D26" s="16">
        <f>'C５级比赛'!D26*12</f>
        <v>540</v>
      </c>
      <c r="E26" s="16">
        <f>'C５级比赛'!E26*12</f>
        <v>378</v>
      </c>
      <c r="F26" s="16">
        <f>'C５级比赛'!F26*12</f>
        <v>216</v>
      </c>
      <c r="G26" s="16">
        <f>'C５级比赛'!G26*12</f>
        <v>180</v>
      </c>
      <c r="H26" s="16">
        <f>'C５级比赛'!H26*12</f>
        <v>154.285714285714</v>
      </c>
      <c r="I26" s="16">
        <f>'C５级比赛'!I26*12</f>
        <v>135</v>
      </c>
      <c r="J26" s="16">
        <f>'C５级比赛'!J26*12</f>
        <v>120</v>
      </c>
      <c r="K26" s="16">
        <f>'C５级比赛'!K26*12</f>
        <v>108</v>
      </c>
      <c r="L26" s="16">
        <f>'C５级比赛'!L26*12</f>
        <v>98.1818181818182</v>
      </c>
      <c r="M26" s="16">
        <f>'C５级比赛'!M26*12</f>
        <v>90</v>
      </c>
      <c r="N26" s="16">
        <f>'C５级比赛'!N26*12</f>
        <v>83.0769230769231</v>
      </c>
      <c r="O26" s="16">
        <f>'C５级比赛'!O26*12</f>
        <v>77.1428571428571</v>
      </c>
      <c r="P26" s="16">
        <f>'C５级比赛'!P26*12</f>
        <v>72</v>
      </c>
      <c r="Q26" s="16">
        <f>'C５级比赛'!Q26*12</f>
        <v>67.5</v>
      </c>
      <c r="R26" s="16">
        <f>'C５级比赛'!R26*12</f>
        <v>60</v>
      </c>
      <c r="S26" s="16">
        <f>'C５级比赛'!S26*12</f>
        <v>54</v>
      </c>
      <c r="T26" s="16">
        <f>'C５级比赛'!T26*12</f>
        <v>41.5384615384615</v>
      </c>
      <c r="U26" s="16">
        <f>'C５级比赛'!U26*12</f>
        <v>36</v>
      </c>
      <c r="V26" s="16">
        <f>'C５级比赛'!V26*12</f>
        <v>26.3414634146341</v>
      </c>
      <c r="W26" s="16">
        <f>'C５级比赛'!W26*12</f>
        <v>21.1764705882353</v>
      </c>
      <c r="X26" s="16">
        <f>'C５级比赛'!X26*12</f>
        <v>17.7049180327869</v>
      </c>
      <c r="Y26" s="38">
        <f>'C５级比赛'!Y26*12</f>
        <v>5892.60814073618</v>
      </c>
      <c r="Z26" s="15">
        <f>'C５级比赛'!Z26*12</f>
        <v>41.7915470974197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</row>
    <row r="27" spans="1:90">
      <c r="A27" s="22" t="s">
        <v>65</v>
      </c>
      <c r="B27" s="16">
        <f>'C５级比赛'!B27*12</f>
        <v>1202.4</v>
      </c>
      <c r="C27" s="16">
        <f>'C５级比赛'!C27*12</f>
        <v>841.68</v>
      </c>
      <c r="D27" s="16">
        <f>'C５级比赛'!D27*12</f>
        <v>601.2</v>
      </c>
      <c r="E27" s="16">
        <f>'C５级比赛'!E27*12</f>
        <v>420.84</v>
      </c>
      <c r="F27" s="16">
        <f>'C５级比赛'!F27*12</f>
        <v>240.48</v>
      </c>
      <c r="G27" s="16">
        <f>'C５级比赛'!G27*12</f>
        <v>200.4</v>
      </c>
      <c r="H27" s="16">
        <f>'C５级比赛'!H27*12</f>
        <v>171.771428571429</v>
      </c>
      <c r="I27" s="16">
        <f>'C５级比赛'!I27*12</f>
        <v>150.3</v>
      </c>
      <c r="J27" s="16">
        <f>'C５级比赛'!J27*12</f>
        <v>133.6</v>
      </c>
      <c r="K27" s="16">
        <f>'C５级比赛'!K27*12</f>
        <v>120.24</v>
      </c>
      <c r="L27" s="16">
        <f>'C５级比赛'!L27*12</f>
        <v>109.309090909091</v>
      </c>
      <c r="M27" s="16">
        <f>'C５级比赛'!M27*12</f>
        <v>100.2</v>
      </c>
      <c r="N27" s="16">
        <f>'C５级比赛'!N27*12</f>
        <v>92.4923076923077</v>
      </c>
      <c r="O27" s="16">
        <f>'C５级比赛'!O27*12</f>
        <v>85.8857142857143</v>
      </c>
      <c r="P27" s="16">
        <f>'C５级比赛'!P27*12</f>
        <v>80.16</v>
      </c>
      <c r="Q27" s="16">
        <f>'C５级比赛'!Q27*12</f>
        <v>75.15</v>
      </c>
      <c r="R27" s="16">
        <f>'C５级比赛'!R27*12</f>
        <v>66.8</v>
      </c>
      <c r="S27" s="16">
        <f>'C５级比赛'!S27*12</f>
        <v>60.12</v>
      </c>
      <c r="T27" s="16">
        <f>'C５级比赛'!T27*12</f>
        <v>46.2461538461538</v>
      </c>
      <c r="U27" s="16">
        <f>'C５级比赛'!U27*12</f>
        <v>40.08</v>
      </c>
      <c r="V27" s="16">
        <f>'C５级比赛'!V27*12</f>
        <v>29.3268292682927</v>
      </c>
      <c r="W27" s="16">
        <f>'C５级比赛'!W27*12</f>
        <v>23.5764705882353</v>
      </c>
      <c r="X27" s="16">
        <f>'C５级比赛'!X27*12</f>
        <v>19.7114754098361</v>
      </c>
      <c r="Y27" s="16">
        <f>'C５级比赛'!Y27*12</f>
        <v>16.9352112676056</v>
      </c>
      <c r="Z27" s="38">
        <f>'C５级比赛'!Z27*12</f>
        <v>6729.78917602901</v>
      </c>
      <c r="AA27" s="15">
        <f>'C５级比赛'!AA27*12</f>
        <v>41.7999327703665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</row>
    <row r="28" spans="1:90">
      <c r="A28" s="22" t="s">
        <v>66</v>
      </c>
      <c r="B28" s="16">
        <f>'C５级比赛'!B28*12</f>
        <v>1322.4</v>
      </c>
      <c r="C28" s="16">
        <f>'C５级比赛'!C28*12</f>
        <v>925.68</v>
      </c>
      <c r="D28" s="16">
        <f>'C５级比赛'!D28*12</f>
        <v>661.2</v>
      </c>
      <c r="E28" s="16">
        <f>'C５级比赛'!E28*12</f>
        <v>462.84</v>
      </c>
      <c r="F28" s="16">
        <f>'C５级比赛'!F28*12</f>
        <v>264.48</v>
      </c>
      <c r="G28" s="16">
        <f>'C５级比赛'!G28*12</f>
        <v>220.4</v>
      </c>
      <c r="H28" s="16">
        <f>'C５级比赛'!H28*12</f>
        <v>188.914285714286</v>
      </c>
      <c r="I28" s="16">
        <f>'C５级比赛'!I28*12</f>
        <v>165.3</v>
      </c>
      <c r="J28" s="16">
        <f>'C５级比赛'!J28*12</f>
        <v>146.933333333333</v>
      </c>
      <c r="K28" s="16">
        <f>'C５级比赛'!K28*12</f>
        <v>132.24</v>
      </c>
      <c r="L28" s="16">
        <f>'C５级比赛'!L28*12</f>
        <v>120.218181818182</v>
      </c>
      <c r="M28" s="16">
        <f>'C５级比赛'!M28*12</f>
        <v>110.2</v>
      </c>
      <c r="N28" s="16">
        <f>'C５级比赛'!N28*12</f>
        <v>101.723076923077</v>
      </c>
      <c r="O28" s="16">
        <f>'C５级比赛'!O28*12</f>
        <v>94.4571428571429</v>
      </c>
      <c r="P28" s="16">
        <f>'C５级比赛'!P28*12</f>
        <v>88.16</v>
      </c>
      <c r="Q28" s="16">
        <f>'C５级比赛'!Q28*12</f>
        <v>82.65</v>
      </c>
      <c r="R28" s="16">
        <f>'C５级比赛'!R28*12</f>
        <v>73.4666666666667</v>
      </c>
      <c r="S28" s="16">
        <f>'C５级比赛'!S28*12</f>
        <v>66.12</v>
      </c>
      <c r="T28" s="16">
        <f>'C５级比赛'!T28*12</f>
        <v>50.8615384615385</v>
      </c>
      <c r="U28" s="16">
        <f>'C５级比赛'!U28*12</f>
        <v>44.08</v>
      </c>
      <c r="V28" s="16">
        <f>'C５级比赛'!V28*12</f>
        <v>32.2536585365854</v>
      </c>
      <c r="W28" s="16">
        <f>'C５级比赛'!W28*12</f>
        <v>25.9294117647059</v>
      </c>
      <c r="X28" s="16">
        <f>'C５级比赛'!X28*12</f>
        <v>21.6786885245902</v>
      </c>
      <c r="Y28" s="16">
        <f>'C５级比赛'!Y28*12</f>
        <v>18.6253521126761</v>
      </c>
      <c r="Z28" s="16">
        <f>'C５级比赛'!Z28*12</f>
        <v>16.3259259259259</v>
      </c>
      <c r="AA28" s="38">
        <f>'C５级比赛'!AA28*12</f>
        <v>7564.68408159855</v>
      </c>
      <c r="AB28" s="15">
        <f>'C５级比赛'!AB28*12</f>
        <v>41.7938347049643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</row>
    <row r="29" spans="1:90">
      <c r="A29" s="22" t="s">
        <v>67</v>
      </c>
      <c r="B29" s="16">
        <f>'C５级比赛'!B29*12</f>
        <v>1441.2</v>
      </c>
      <c r="C29" s="16">
        <f>'C５级比赛'!C29*12</f>
        <v>1008.84</v>
      </c>
      <c r="D29" s="16">
        <f>'C５级比赛'!D29*12</f>
        <v>720.6</v>
      </c>
      <c r="E29" s="16">
        <f>'C５级比赛'!E29*12</f>
        <v>504.42</v>
      </c>
      <c r="F29" s="16">
        <f>'C５级比赛'!F29*12</f>
        <v>288.24</v>
      </c>
      <c r="G29" s="16">
        <f>'C５级比赛'!G29*12</f>
        <v>240.2</v>
      </c>
      <c r="H29" s="16">
        <f>'C５级比赛'!H29*12</f>
        <v>205.885714285714</v>
      </c>
      <c r="I29" s="16">
        <f>'C５级比赛'!I29*12</f>
        <v>180.15</v>
      </c>
      <c r="J29" s="16">
        <f>'C５级比赛'!J29*12</f>
        <v>160.133333333333</v>
      </c>
      <c r="K29" s="16">
        <f>'C５级比赛'!K29*12</f>
        <v>144.12</v>
      </c>
      <c r="L29" s="16">
        <f>'C５级比赛'!L29*12</f>
        <v>131.018181818182</v>
      </c>
      <c r="M29" s="16">
        <f>'C５级比赛'!M29*12</f>
        <v>120.1</v>
      </c>
      <c r="N29" s="16">
        <f>'C５级比赛'!N29*12</f>
        <v>110.861538461538</v>
      </c>
      <c r="O29" s="16">
        <f>'C５级比赛'!O29*12</f>
        <v>102.942857142857</v>
      </c>
      <c r="P29" s="16">
        <f>'C５级比赛'!P29*12</f>
        <v>96.08</v>
      </c>
      <c r="Q29" s="16">
        <f>'C５级比赛'!Q29*12</f>
        <v>90.075</v>
      </c>
      <c r="R29" s="16">
        <f>'C５级比赛'!R29*12</f>
        <v>80.0666666666667</v>
      </c>
      <c r="S29" s="16">
        <f>'C５级比赛'!S29*12</f>
        <v>72.06</v>
      </c>
      <c r="T29" s="16">
        <f>'C５级比赛'!T29*12</f>
        <v>55.4307692307692</v>
      </c>
      <c r="U29" s="16">
        <f>'C５级比赛'!U29*12</f>
        <v>48.04</v>
      </c>
      <c r="V29" s="16">
        <f>'C５级比赛'!V29*12</f>
        <v>35.1512195121951</v>
      </c>
      <c r="W29" s="16">
        <f>'C５级比赛'!W29*12</f>
        <v>28.2588235294118</v>
      </c>
      <c r="X29" s="16">
        <f>'C５级比赛'!X29*12</f>
        <v>23.6262295081967</v>
      </c>
      <c r="Y29" s="16">
        <f>'C５级比赛'!Y29*12</f>
        <v>20.2985915492958</v>
      </c>
      <c r="Z29" s="16">
        <f>'C５级比赛'!Z29*12</f>
        <v>17.7925925925926</v>
      </c>
      <c r="AA29" s="16">
        <f>'C５级比赛'!AA29*12</f>
        <v>15.8373626373626</v>
      </c>
      <c r="AB29" s="38">
        <f>'C５级比赛'!AB29*12</f>
        <v>8402.64366448602</v>
      </c>
      <c r="AC29" s="15">
        <f>'C５级比赛'!AC29*12</f>
        <v>41.8041973357513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</row>
    <row r="30" spans="1:90">
      <c r="A30" s="22" t="s">
        <v>68</v>
      </c>
      <c r="B30" s="16">
        <f>'C５级比赛'!B30*12</f>
        <v>1670.4</v>
      </c>
      <c r="C30" s="16">
        <f>'C５级比赛'!C30*12</f>
        <v>1169.28</v>
      </c>
      <c r="D30" s="16">
        <f>'C５级比赛'!D30*12</f>
        <v>835.2</v>
      </c>
      <c r="E30" s="16">
        <f>'C５级比赛'!E30*12</f>
        <v>584.64</v>
      </c>
      <c r="F30" s="16">
        <f>'C５级比赛'!F30*12</f>
        <v>334.08</v>
      </c>
      <c r="G30" s="16">
        <f>'C５级比赛'!G30*12</f>
        <v>278.4</v>
      </c>
      <c r="H30" s="16">
        <f>'C５级比赛'!H30*12</f>
        <v>238.628571428571</v>
      </c>
      <c r="I30" s="16">
        <f>'C５级比赛'!I30*12</f>
        <v>208.8</v>
      </c>
      <c r="J30" s="16">
        <f>'C５级比赛'!J30*12</f>
        <v>185.6</v>
      </c>
      <c r="K30" s="16">
        <f>'C５级比赛'!K30*12</f>
        <v>167.04</v>
      </c>
      <c r="L30" s="16">
        <f>'C５级比赛'!L30*12</f>
        <v>151.854545454545</v>
      </c>
      <c r="M30" s="16">
        <f>'C５级比赛'!M30*12</f>
        <v>139.2</v>
      </c>
      <c r="N30" s="16">
        <f>'C５级比赛'!N30*12</f>
        <v>128.492307692308</v>
      </c>
      <c r="O30" s="16">
        <f>'C５级比赛'!O30*12</f>
        <v>119.314285714286</v>
      </c>
      <c r="P30" s="16">
        <f>'C５级比赛'!P30*12</f>
        <v>111.36</v>
      </c>
      <c r="Q30" s="16">
        <f>'C５级比赛'!Q30*12</f>
        <v>104.4</v>
      </c>
      <c r="R30" s="16">
        <f>'C５级比赛'!R30*12</f>
        <v>92.8</v>
      </c>
      <c r="S30" s="16">
        <f>'C５级比赛'!S30*12</f>
        <v>83.52</v>
      </c>
      <c r="T30" s="16">
        <f>'C５级比赛'!T30*12</f>
        <v>64.2461538461538</v>
      </c>
      <c r="U30" s="16">
        <f>'C５级比赛'!U30*12</f>
        <v>55.68</v>
      </c>
      <c r="V30" s="16">
        <f>'C５级比赛'!V30*12</f>
        <v>40.7414634146341</v>
      </c>
      <c r="W30" s="16">
        <f>'C５级比赛'!W30*12</f>
        <v>32.7529411764706</v>
      </c>
      <c r="X30" s="16">
        <f>'C５级比赛'!X30*12</f>
        <v>27.383606557377</v>
      </c>
      <c r="Y30" s="16">
        <f>'C５级比赛'!Y30*12</f>
        <v>23.5267605633803</v>
      </c>
      <c r="Z30" s="16">
        <f>'C５级比赛'!Z30*12</f>
        <v>20.6222222222222</v>
      </c>
      <c r="AA30" s="16">
        <f>'C５级比赛'!AA30*12</f>
        <v>18.356043956044</v>
      </c>
      <c r="AB30" s="16">
        <f>'C５级比赛'!AB30*12</f>
        <v>16.704</v>
      </c>
      <c r="AC30" s="38">
        <f>'C５级比赛'!AC30*12</f>
        <v>10073.0308584218</v>
      </c>
      <c r="AD30" s="15">
        <f>'C５级比赛'!AD30*12</f>
        <v>41.7968085411691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</row>
    <row r="31" spans="1:90">
      <c r="A31" s="22" t="s">
        <v>69</v>
      </c>
      <c r="B31" s="16">
        <f>'C５级比赛'!B31*12</f>
        <v>1896</v>
      </c>
      <c r="C31" s="16">
        <f>'C５级比赛'!C31*12</f>
        <v>1327.2</v>
      </c>
      <c r="D31" s="16">
        <f>'C５级比赛'!D31*12</f>
        <v>948</v>
      </c>
      <c r="E31" s="16">
        <f>'C５级比赛'!E31*12</f>
        <v>663.6</v>
      </c>
      <c r="F31" s="16">
        <f>'C５级比赛'!F31*12</f>
        <v>379.2</v>
      </c>
      <c r="G31" s="16">
        <f>'C５级比赛'!G31*12</f>
        <v>316</v>
      </c>
      <c r="H31" s="16">
        <f>'C５级比赛'!H31*12</f>
        <v>270.857142857143</v>
      </c>
      <c r="I31" s="16">
        <f>'C５级比赛'!I31*12</f>
        <v>237</v>
      </c>
      <c r="J31" s="16">
        <f>'C５级比赛'!J31*12</f>
        <v>210.666666666667</v>
      </c>
      <c r="K31" s="16">
        <f>'C５级比赛'!K31*12</f>
        <v>189.6</v>
      </c>
      <c r="L31" s="16">
        <f>'C５级比赛'!L31*12</f>
        <v>172.363636363636</v>
      </c>
      <c r="M31" s="16">
        <f>'C５级比赛'!M31*12</f>
        <v>158</v>
      </c>
      <c r="N31" s="16">
        <f>'C５级比赛'!N31*12</f>
        <v>145.846153846154</v>
      </c>
      <c r="O31" s="16">
        <f>'C５级比赛'!O31*12</f>
        <v>135.428571428571</v>
      </c>
      <c r="P31" s="16">
        <f>'C５级比赛'!P31*12</f>
        <v>126.4</v>
      </c>
      <c r="Q31" s="16">
        <f>'C５级比赛'!Q31*12</f>
        <v>118.5</v>
      </c>
      <c r="R31" s="16">
        <f>'C５级比赛'!R31*12</f>
        <v>105.333333333333</v>
      </c>
      <c r="S31" s="16">
        <f>'C５级比赛'!S31*12</f>
        <v>94.8</v>
      </c>
      <c r="T31" s="16">
        <f>'C５级比赛'!T31*12</f>
        <v>72.9230769230769</v>
      </c>
      <c r="U31" s="16">
        <f>'C５级比赛'!U31*12</f>
        <v>63.2</v>
      </c>
      <c r="V31" s="16">
        <f>'C５级比赛'!V31*12</f>
        <v>46.2439024390244</v>
      </c>
      <c r="W31" s="16">
        <f>'C５级比赛'!W31*12</f>
        <v>37.1764705882353</v>
      </c>
      <c r="X31" s="16">
        <f>'C５级比赛'!X31*12</f>
        <v>31.0819672131148</v>
      </c>
      <c r="Y31" s="16">
        <f>'C５级比赛'!Y31*12</f>
        <v>26.7042253521127</v>
      </c>
      <c r="Z31" s="16">
        <f>'C５级比赛'!Z31*12</f>
        <v>23.4074074074074</v>
      </c>
      <c r="AA31" s="16">
        <f>'C５级比赛'!AA31*12</f>
        <v>20.8351648351648</v>
      </c>
      <c r="AB31" s="16">
        <f>'C５级比赛'!AB31*12</f>
        <v>18.96</v>
      </c>
      <c r="AC31" s="16">
        <f>'C５级比赛'!AC31*12</f>
        <v>15.6694214876033</v>
      </c>
      <c r="AD31" s="38">
        <f>'C５级比赛'!AD31*12</f>
        <v>11746.8573638802</v>
      </c>
      <c r="AE31" s="15">
        <f>'C５级比赛'!AE31*12</f>
        <v>41.8037628607837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1:90">
      <c r="A32" s="22" t="s">
        <v>70</v>
      </c>
      <c r="B32" s="16">
        <f>'C５级比赛'!B32*12</f>
        <v>2118</v>
      </c>
      <c r="C32" s="16">
        <f>'C５级比赛'!C32*12</f>
        <v>1482.6</v>
      </c>
      <c r="D32" s="16">
        <f>'C５级比赛'!D32*12</f>
        <v>1059</v>
      </c>
      <c r="E32" s="16">
        <f>'C５级比赛'!E32*12</f>
        <v>741.3</v>
      </c>
      <c r="F32" s="16">
        <f>'C５级比赛'!F32*12</f>
        <v>423.6</v>
      </c>
      <c r="G32" s="16">
        <f>'C５级比赛'!G32*12</f>
        <v>353</v>
      </c>
      <c r="H32" s="16">
        <f>'C５级比赛'!H32*12</f>
        <v>302.571428571429</v>
      </c>
      <c r="I32" s="16">
        <f>'C５级比赛'!I32*12</f>
        <v>264.75</v>
      </c>
      <c r="J32" s="16">
        <f>'C５级比赛'!J32*12</f>
        <v>235.333333333333</v>
      </c>
      <c r="K32" s="16">
        <f>'C５级比赛'!K32*12</f>
        <v>211.8</v>
      </c>
      <c r="L32" s="16">
        <f>'C５级比赛'!L32*12</f>
        <v>192.545454545455</v>
      </c>
      <c r="M32" s="16">
        <f>'C５级比赛'!M32*12</f>
        <v>176.5</v>
      </c>
      <c r="N32" s="16">
        <f>'C５级比赛'!N32*12</f>
        <v>162.923076923077</v>
      </c>
      <c r="O32" s="16">
        <f>'C５级比赛'!O32*12</f>
        <v>151.285714285714</v>
      </c>
      <c r="P32" s="16">
        <f>'C５级比赛'!P32*12</f>
        <v>141.2</v>
      </c>
      <c r="Q32" s="16">
        <f>'C５级比赛'!Q32*12</f>
        <v>132.375</v>
      </c>
      <c r="R32" s="16">
        <f>'C５级比赛'!R32*12</f>
        <v>117.666666666667</v>
      </c>
      <c r="S32" s="16">
        <f>'C５级比赛'!S32*12</f>
        <v>105.9</v>
      </c>
      <c r="T32" s="16">
        <f>'C５级比赛'!T32*12</f>
        <v>81.4615384615385</v>
      </c>
      <c r="U32" s="16">
        <f>'C５级比赛'!U32*12</f>
        <v>70.6</v>
      </c>
      <c r="V32" s="16">
        <f>'C５级比赛'!V32*12</f>
        <v>51.6585365853659</v>
      </c>
      <c r="W32" s="16">
        <f>'C５级比赛'!W32*12</f>
        <v>41.5294117647059</v>
      </c>
      <c r="X32" s="16">
        <f>'C５级比赛'!X32*12</f>
        <v>34.7213114754098</v>
      </c>
      <c r="Y32" s="16">
        <f>'C５级比赛'!Y32*12</f>
        <v>29.830985915493</v>
      </c>
      <c r="Z32" s="16">
        <f>'C５级比赛'!Z32*12</f>
        <v>26.1481481481481</v>
      </c>
      <c r="AA32" s="16">
        <f>'C５级比赛'!AA32*12</f>
        <v>23.2747252747253</v>
      </c>
      <c r="AB32" s="16">
        <f>'C５级比赛'!AB32*12</f>
        <v>21.18</v>
      </c>
      <c r="AC32" s="16">
        <f>'C５级比赛'!AC32*12</f>
        <v>17.504132231405</v>
      </c>
      <c r="AD32" s="16">
        <f>'C５级比赛'!AD32*12</f>
        <v>15.0212765957447</v>
      </c>
      <c r="AE32" s="38">
        <f>'C５级比赛'!AE32*12</f>
        <v>13422.7060681482</v>
      </c>
      <c r="AF32" s="27">
        <f>'C５级比赛'!AF32*12</f>
        <v>41.8152837013962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</row>
    <row r="33" spans="1:90">
      <c r="A33" s="22" t="s">
        <v>71</v>
      </c>
      <c r="B33" s="16">
        <f>'C５级比赛'!B33*12</f>
        <v>2336.4</v>
      </c>
      <c r="C33" s="16">
        <f>'C５级比赛'!C33*12</f>
        <v>1635.48</v>
      </c>
      <c r="D33" s="16">
        <f>'C５级比赛'!D33*12</f>
        <v>1168.2</v>
      </c>
      <c r="E33" s="16">
        <f>'C５级比赛'!E33*12</f>
        <v>817.74</v>
      </c>
      <c r="F33" s="16">
        <f>'C５级比赛'!F33*12</f>
        <v>467.28</v>
      </c>
      <c r="G33" s="16">
        <f>'C５级比赛'!G33*12</f>
        <v>389.4</v>
      </c>
      <c r="H33" s="16">
        <f>'C５级比赛'!H33*12</f>
        <v>333.771428571429</v>
      </c>
      <c r="I33" s="16">
        <f>'C５级比赛'!I33*12</f>
        <v>292.05</v>
      </c>
      <c r="J33" s="16">
        <f>'C５级比赛'!J33*12</f>
        <v>259.6</v>
      </c>
      <c r="K33" s="16">
        <f>'C５级比赛'!K33*12</f>
        <v>233.64</v>
      </c>
      <c r="L33" s="16">
        <f>'C５级比赛'!L33*12</f>
        <v>212.4</v>
      </c>
      <c r="M33" s="16">
        <f>'C５级比赛'!M33*12</f>
        <v>194.7</v>
      </c>
      <c r="N33" s="16">
        <f>'C５级比赛'!N33*12</f>
        <v>179.723076923077</v>
      </c>
      <c r="O33" s="16">
        <f>'C５级比赛'!O33*12</f>
        <v>166.885714285714</v>
      </c>
      <c r="P33" s="16">
        <f>'C５级比赛'!P33*12</f>
        <v>155.76</v>
      </c>
      <c r="Q33" s="16">
        <f>'C５级比赛'!Q33*12</f>
        <v>146.025</v>
      </c>
      <c r="R33" s="16">
        <f>'C５级比赛'!R33*12</f>
        <v>129.8</v>
      </c>
      <c r="S33" s="16">
        <f>'C５级比赛'!S33*12</f>
        <v>116.82</v>
      </c>
      <c r="T33" s="16">
        <f>'C５级比赛'!T33*12</f>
        <v>89.8615384615385</v>
      </c>
      <c r="U33" s="16">
        <f>'C５级比赛'!U33*12</f>
        <v>77.88</v>
      </c>
      <c r="V33" s="16">
        <f>'C５级比赛'!V33*12</f>
        <v>56.9853658536585</v>
      </c>
      <c r="W33" s="16">
        <f>'C５级比赛'!W33*12</f>
        <v>45.8117647058824</v>
      </c>
      <c r="X33" s="16">
        <f>'C５级比赛'!X33*12</f>
        <v>38.3016393442623</v>
      </c>
      <c r="Y33" s="16">
        <f>'C５级比赛'!Y33*12</f>
        <v>32.9070422535211</v>
      </c>
      <c r="Z33" s="16">
        <f>'C５级比赛'!Z33*12</f>
        <v>28.8444444444444</v>
      </c>
      <c r="AA33" s="16">
        <f>'C５级比赛'!AA33*12</f>
        <v>25.6747252747253</v>
      </c>
      <c r="AB33" s="16">
        <f>'C５级比赛'!AB33*12</f>
        <v>23.364</v>
      </c>
      <c r="AC33" s="16">
        <f>'C５级比赛'!AC33*12</f>
        <v>19.3090909090909</v>
      </c>
      <c r="AD33" s="16">
        <f>'C５级比赛'!AD33*12</f>
        <v>16.5702127659574</v>
      </c>
      <c r="AE33" s="16">
        <f>'C５级比赛'!AE33*12</f>
        <v>14.511801242236</v>
      </c>
      <c r="AF33" s="39">
        <f>'C５级比赛'!AF33*12</f>
        <v>15097.0398291985</v>
      </c>
      <c r="AG33" s="27">
        <f>'C５级比赛'!AG33*12</f>
        <v>41.8200549285278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</row>
    <row r="34" spans="1:90">
      <c r="A34" s="22" t="s">
        <v>72</v>
      </c>
      <c r="B34" s="16">
        <f>'C５级比赛'!B34*12</f>
        <v>2552.4</v>
      </c>
      <c r="C34" s="16">
        <f>'C５级比赛'!C34*12</f>
        <v>1786.68</v>
      </c>
      <c r="D34" s="16">
        <f>'C５级比赛'!D34*12</f>
        <v>1276.2</v>
      </c>
      <c r="E34" s="16">
        <f>'C５级比赛'!E34*12</f>
        <v>893.34</v>
      </c>
      <c r="F34" s="16">
        <f>'C５级比赛'!F34*12</f>
        <v>510.48</v>
      </c>
      <c r="G34" s="16">
        <f>'C５级比赛'!G34*12</f>
        <v>425.4</v>
      </c>
      <c r="H34" s="16">
        <f>'C５级比赛'!H34*12</f>
        <v>364.628571428571</v>
      </c>
      <c r="I34" s="16">
        <f>'C５级比赛'!I34*12</f>
        <v>319.05</v>
      </c>
      <c r="J34" s="16">
        <f>'C５级比赛'!J34*12</f>
        <v>283.6</v>
      </c>
      <c r="K34" s="16">
        <f>'C５级比赛'!K34*12</f>
        <v>255.24</v>
      </c>
      <c r="L34" s="16">
        <f>'C５级比赛'!L34*12</f>
        <v>232.036363636364</v>
      </c>
      <c r="M34" s="16">
        <f>'C５级比赛'!M34*12</f>
        <v>212.7</v>
      </c>
      <c r="N34" s="16">
        <f>'C５级比赛'!N34*12</f>
        <v>196.338461538462</v>
      </c>
      <c r="O34" s="16">
        <f>'C５级比赛'!O34*12</f>
        <v>182.314285714286</v>
      </c>
      <c r="P34" s="16">
        <f>'C５级比赛'!P34*12</f>
        <v>170.16</v>
      </c>
      <c r="Q34" s="16">
        <f>'C５级比赛'!Q34*12</f>
        <v>159.525</v>
      </c>
      <c r="R34" s="16">
        <f>'C５级比赛'!R34*12</f>
        <v>141.8</v>
      </c>
      <c r="S34" s="16">
        <f>'C５级比赛'!S34*12</f>
        <v>127.62</v>
      </c>
      <c r="T34" s="16">
        <f>'C５级比赛'!T34*12</f>
        <v>98.1692307692308</v>
      </c>
      <c r="U34" s="16">
        <f>'C５级比赛'!U34*12</f>
        <v>85.08</v>
      </c>
      <c r="V34" s="16">
        <f>'C５级比赛'!V34*12</f>
        <v>62.2536585365854</v>
      </c>
      <c r="W34" s="16">
        <f>'C５级比赛'!W34*12</f>
        <v>50.0470588235294</v>
      </c>
      <c r="X34" s="16">
        <f>'C５级比赛'!X34*12</f>
        <v>41.8426229508197</v>
      </c>
      <c r="Y34" s="16">
        <f>'C５级比赛'!Y34*12</f>
        <v>35.9492957746479</v>
      </c>
      <c r="Z34" s="16">
        <f>'C５级比赛'!Z34*12</f>
        <v>31.5111111111111</v>
      </c>
      <c r="AA34" s="16">
        <f>'C５级比赛'!AA34*12</f>
        <v>28.0483516483516</v>
      </c>
      <c r="AB34" s="16">
        <f>'C５级比赛'!AB34*12</f>
        <v>25.524</v>
      </c>
      <c r="AC34" s="16">
        <f>'C５级比赛'!AC34*12</f>
        <v>21.0942148760331</v>
      </c>
      <c r="AD34" s="16">
        <f>'C５级比赛'!AD34*12</f>
        <v>18.1021276595745</v>
      </c>
      <c r="AE34" s="16">
        <f>'C５级比赛'!AE34*12</f>
        <v>15.8534161490683</v>
      </c>
      <c r="AF34" s="25">
        <f>'C５级比赛'!AF34*12</f>
        <v>14.1016574585635</v>
      </c>
      <c r="AG34" s="39">
        <f>'C５级比赛'!AG34*12</f>
        <v>16774.7931474791</v>
      </c>
      <c r="AH34" s="27">
        <f>'C５级比赛'!AH34*12</f>
        <v>41.8324018640376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</row>
    <row r="35" spans="1:90">
      <c r="A35" s="22" t="s">
        <v>73</v>
      </c>
      <c r="B35" s="16">
        <f>'C５级比赛'!B35*12</f>
        <v>3555.6</v>
      </c>
      <c r="C35" s="16">
        <f>'C５级比赛'!C35*12</f>
        <v>2488.92</v>
      </c>
      <c r="D35" s="16">
        <f>'C５级比赛'!D35*12</f>
        <v>1777.8</v>
      </c>
      <c r="E35" s="16">
        <f>'C５级比赛'!E35*12</f>
        <v>1244.46</v>
      </c>
      <c r="F35" s="16">
        <f>'C５级比赛'!F35*12</f>
        <v>711.12</v>
      </c>
      <c r="G35" s="16">
        <f>'C５级比赛'!G35*12</f>
        <v>592.6</v>
      </c>
      <c r="H35" s="16">
        <f>'C５级比赛'!H35*12</f>
        <v>507.942857142857</v>
      </c>
      <c r="I35" s="16">
        <f>'C５级比赛'!I35*12</f>
        <v>444.45</v>
      </c>
      <c r="J35" s="16">
        <f>'C５级比赛'!J35*12</f>
        <v>395.066666666667</v>
      </c>
      <c r="K35" s="16">
        <f>'C５级比赛'!K35*12</f>
        <v>355.56</v>
      </c>
      <c r="L35" s="16">
        <f>'C５级比赛'!L35*12</f>
        <v>323.236363636364</v>
      </c>
      <c r="M35" s="16">
        <f>'C５级比赛'!M35*12</f>
        <v>296.3</v>
      </c>
      <c r="N35" s="16">
        <f>'C５级比赛'!N35*12</f>
        <v>273.507692307692</v>
      </c>
      <c r="O35" s="16">
        <f>'C５级比赛'!O35*12</f>
        <v>253.971428571429</v>
      </c>
      <c r="P35" s="16">
        <f>'C５级比赛'!P35*12</f>
        <v>237.04</v>
      </c>
      <c r="Q35" s="16">
        <f>'C５级比赛'!Q35*12</f>
        <v>222.225</v>
      </c>
      <c r="R35" s="16">
        <f>'C５级比赛'!R35*12</f>
        <v>197.533333333333</v>
      </c>
      <c r="S35" s="16">
        <f>'C５级比赛'!S35*12</f>
        <v>177.78</v>
      </c>
      <c r="T35" s="16">
        <f>'C５级比赛'!T35*12</f>
        <v>136.753846153846</v>
      </c>
      <c r="U35" s="16">
        <f>'C５级比赛'!U35*12</f>
        <v>118.52</v>
      </c>
      <c r="V35" s="16">
        <f>'C５级比赛'!V35*12</f>
        <v>86.7219512195122</v>
      </c>
      <c r="W35" s="16">
        <f>'C５级比赛'!W35*12</f>
        <v>69.7176470588235</v>
      </c>
      <c r="X35" s="16">
        <f>'C５级比赛'!X35*12</f>
        <v>58.2885245901639</v>
      </c>
      <c r="Y35" s="16">
        <f>'C５级比赛'!Y35*12</f>
        <v>50.0788732394366</v>
      </c>
      <c r="Z35" s="16">
        <f>'C５级比赛'!Z35*12</f>
        <v>43.8962962962963</v>
      </c>
      <c r="AA35" s="16">
        <f>'C５级比赛'!AA35*12</f>
        <v>39.0725274725275</v>
      </c>
      <c r="AB35" s="16">
        <f>'C５级比赛'!AB35*12</f>
        <v>35.556</v>
      </c>
      <c r="AC35" s="16">
        <f>'C５级比赛'!AC35*12</f>
        <v>29.3851239669422</v>
      </c>
      <c r="AD35" s="16">
        <f>'C５级比赛'!AD35*12</f>
        <v>25.2170212765957</v>
      </c>
      <c r="AE35" s="16">
        <f>'C５级比赛'!AE35*12</f>
        <v>22.0844720496894</v>
      </c>
      <c r="AF35" s="25">
        <f>'C５级比赛'!AF35*12</f>
        <v>19.6441988950276</v>
      </c>
      <c r="AG35" s="25">
        <f>'C５级比赛'!AG35*12</f>
        <v>17.689552238806</v>
      </c>
      <c r="AH35" s="39">
        <f>'C５级比赛'!AH35*12</f>
        <v>25136.9439855075</v>
      </c>
      <c r="AI35" s="27">
        <f>'C５级比赛'!AI35*12</f>
        <v>41.8251979792139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</row>
    <row r="36" spans="1:90">
      <c r="A36" s="22" t="s">
        <v>74</v>
      </c>
      <c r="B36" s="16">
        <f>'C５级比赛'!B36*12</f>
        <v>4526.4</v>
      </c>
      <c r="C36" s="16">
        <f>'C５级比赛'!C36*12</f>
        <v>3168.48</v>
      </c>
      <c r="D36" s="16">
        <f>'C５级比赛'!D36*12</f>
        <v>2263.2</v>
      </c>
      <c r="E36" s="16">
        <f>'C５级比赛'!E36*12</f>
        <v>1584.24</v>
      </c>
      <c r="F36" s="16">
        <f>'C５级比赛'!F36*12</f>
        <v>905.28</v>
      </c>
      <c r="G36" s="16">
        <f>'C５级比赛'!G36*12</f>
        <v>754.4</v>
      </c>
      <c r="H36" s="16">
        <f>'C５级比赛'!H36*12</f>
        <v>646.628571428571</v>
      </c>
      <c r="I36" s="16">
        <f>'C５级比赛'!I36*12</f>
        <v>565.8</v>
      </c>
      <c r="J36" s="16">
        <f>'C５级比赛'!J36*12</f>
        <v>502.933333333333</v>
      </c>
      <c r="K36" s="16">
        <f>'C５级比赛'!K36*12</f>
        <v>452.64</v>
      </c>
      <c r="L36" s="16">
        <f>'C５级比赛'!L36*12</f>
        <v>411.490909090909</v>
      </c>
      <c r="M36" s="16">
        <f>'C５级比赛'!M36*12</f>
        <v>377.2</v>
      </c>
      <c r="N36" s="16">
        <f>'C５级比赛'!N36*12</f>
        <v>348.184615384615</v>
      </c>
      <c r="O36" s="16">
        <f>'C５级比赛'!O36*12</f>
        <v>323.314285714286</v>
      </c>
      <c r="P36" s="16">
        <f>'C５级比赛'!P36*12</f>
        <v>301.76</v>
      </c>
      <c r="Q36" s="16">
        <f>'C５级比赛'!Q36*12</f>
        <v>282.9</v>
      </c>
      <c r="R36" s="16">
        <f>'C５级比赛'!R36*12</f>
        <v>251.466666666667</v>
      </c>
      <c r="S36" s="16">
        <f>'C５级比赛'!S36*12</f>
        <v>226.32</v>
      </c>
      <c r="T36" s="16">
        <f>'C５级比赛'!T36*12</f>
        <v>174.092307692308</v>
      </c>
      <c r="U36" s="16">
        <f>'C５级比赛'!U36*12</f>
        <v>150.88</v>
      </c>
      <c r="V36" s="16">
        <f>'C５级比赛'!V36*12</f>
        <v>110.4</v>
      </c>
      <c r="W36" s="16">
        <f>'C５级比赛'!W36*12</f>
        <v>88.7529411764706</v>
      </c>
      <c r="X36" s="16">
        <f>'C５级比赛'!X36*12</f>
        <v>74.2032786885246</v>
      </c>
      <c r="Y36" s="16">
        <f>'C５级比赛'!Y36*12</f>
        <v>63.7521126760563</v>
      </c>
      <c r="Z36" s="16">
        <f>'C５级比赛'!Z36*12</f>
        <v>55.8814814814815</v>
      </c>
      <c r="AA36" s="16">
        <f>'C５级比赛'!AA36*12</f>
        <v>49.7406593406593</v>
      </c>
      <c r="AB36" s="16">
        <f>'C５级比赛'!AB36*12</f>
        <v>45.264</v>
      </c>
      <c r="AC36" s="16">
        <f>'C５级比赛'!AC36*12</f>
        <v>37.4082644628099</v>
      </c>
      <c r="AD36" s="16">
        <f>'C５级比赛'!AD36*12</f>
        <v>32.1021276595745</v>
      </c>
      <c r="AE36" s="16">
        <f>'C５级比赛'!AE36*12</f>
        <v>28.1142857142857</v>
      </c>
      <c r="AF36" s="25">
        <f>'C５级比赛'!AF36*12</f>
        <v>25.0077348066298</v>
      </c>
      <c r="AG36" s="25">
        <f>'C５级比赛'!AG36*12</f>
        <v>22.5194029850746</v>
      </c>
      <c r="AH36" s="25">
        <f>'C５级比赛'!AH36*12</f>
        <v>15.0378737541528</v>
      </c>
      <c r="AI36" s="39">
        <f>'C５级比赛'!AI36*12</f>
        <v>33503.9739138339</v>
      </c>
      <c r="AJ36" s="27">
        <f>'C５级比赛'!AJ36*12</f>
        <v>41.8276827888064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</row>
    <row r="37" s="2" customFormat="1" spans="1:90">
      <c r="A37" s="19" t="s">
        <v>75</v>
      </c>
      <c r="B37" s="13">
        <f>'C５级比赛'!B37*12</f>
        <v>5472</v>
      </c>
      <c r="C37" s="13">
        <f>'C５级比赛'!C37*12</f>
        <v>3830.4</v>
      </c>
      <c r="D37" s="13">
        <f>'C５级比赛'!D37*12</f>
        <v>2736</v>
      </c>
      <c r="E37" s="13">
        <f>'C５级比赛'!E37*12</f>
        <v>1915.2</v>
      </c>
      <c r="F37" s="13">
        <f>'C５级比赛'!F37*12</f>
        <v>1094.4</v>
      </c>
      <c r="G37" s="13">
        <f>'C５级比赛'!G37*12</f>
        <v>912</v>
      </c>
      <c r="H37" s="13">
        <f>'C５级比赛'!H37*12</f>
        <v>781.714285714286</v>
      </c>
      <c r="I37" s="13">
        <f>'C５级比赛'!I37*12</f>
        <v>684</v>
      </c>
      <c r="J37" s="13">
        <f>'C５级比赛'!J37*12</f>
        <v>608</v>
      </c>
      <c r="K37" s="13">
        <f>'C５级比赛'!K37*12</f>
        <v>547.2</v>
      </c>
      <c r="L37" s="13">
        <f>'C５级比赛'!L37*12</f>
        <v>497.454545454545</v>
      </c>
      <c r="M37" s="13">
        <f>'C５级比赛'!M37*12</f>
        <v>456</v>
      </c>
      <c r="N37" s="13">
        <f>'C５级比赛'!N37*12</f>
        <v>420.923076923077</v>
      </c>
      <c r="O37" s="13">
        <f>'C５级比赛'!O37*12</f>
        <v>390.857142857143</v>
      </c>
      <c r="P37" s="13">
        <f>'C５级比赛'!P37*12</f>
        <v>364.8</v>
      </c>
      <c r="Q37" s="13">
        <f>'C５级比赛'!Q37*12</f>
        <v>342</v>
      </c>
      <c r="R37" s="13">
        <f>'C５级比赛'!R37*12</f>
        <v>304</v>
      </c>
      <c r="S37" s="13">
        <f>'C５级比赛'!S37*12</f>
        <v>273.6</v>
      </c>
      <c r="T37" s="13">
        <f>'C５级比赛'!T37*12</f>
        <v>210.461538461538</v>
      </c>
      <c r="U37" s="13">
        <f>'C５级比赛'!U37*12</f>
        <v>182.4</v>
      </c>
      <c r="V37" s="13">
        <f>'C５级比赛'!V37*12</f>
        <v>133.463414634146</v>
      </c>
      <c r="W37" s="13">
        <f>'C５级比赛'!W37*12</f>
        <v>107.294117647059</v>
      </c>
      <c r="X37" s="13">
        <f>'C５级比赛'!X37*12</f>
        <v>89.7049180327869</v>
      </c>
      <c r="Y37" s="13">
        <f>'C５级比赛'!Y37*12</f>
        <v>77.0704225352113</v>
      </c>
      <c r="Z37" s="13">
        <f>'C５级比赛'!Z37*12</f>
        <v>67.5555555555556</v>
      </c>
      <c r="AA37" s="13">
        <f>'C５级比赛'!AA37*12</f>
        <v>60.1318681318681</v>
      </c>
      <c r="AB37" s="13">
        <f>'C５级比赛'!AB37*12</f>
        <v>54.72</v>
      </c>
      <c r="AC37" s="13">
        <f>'C５级比赛'!AC37*12</f>
        <v>45.2231404958678</v>
      </c>
      <c r="AD37" s="13">
        <f>'C５级比赛'!AD37*12</f>
        <v>38.8085106382979</v>
      </c>
      <c r="AE37" s="13">
        <f>'C５级比赛'!AE37*12</f>
        <v>33.9875776397515</v>
      </c>
      <c r="AF37" s="29">
        <f>'C５级比赛'!AF37*12</f>
        <v>30.232044198895</v>
      </c>
      <c r="AG37" s="29">
        <f>'C５级比赛'!AG37*12</f>
        <v>27.2238805970149</v>
      </c>
      <c r="AH37" s="29">
        <f>'C５级比赛'!AH37*12</f>
        <v>18.1794019933555</v>
      </c>
      <c r="AI37" s="29">
        <f>'C５级比赛'!AI37*12</f>
        <v>13.645885286783</v>
      </c>
      <c r="AJ37" s="39">
        <f>'C５级比赛'!AJ37*12</f>
        <v>41867.8019557946</v>
      </c>
      <c r="AK37" s="27">
        <f>'C５级比赛'!AK37*12</f>
        <v>41.8259759798148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1:90">
      <c r="A38" s="22" t="s">
        <v>76</v>
      </c>
      <c r="B38" s="16">
        <f>'C５级比赛'!B38*12</f>
        <v>6019.2</v>
      </c>
      <c r="C38" s="16">
        <f>'C５级比赛'!C38*12</f>
        <v>5477.472</v>
      </c>
      <c r="D38" s="16">
        <f>'C５级比赛'!D38*12</f>
        <v>3912.48</v>
      </c>
      <c r="E38" s="16">
        <f>'C５级比赛'!E38*12</f>
        <v>2949.408</v>
      </c>
      <c r="F38" s="16">
        <f>'C５级比赛'!F38*12</f>
        <v>1685.376</v>
      </c>
      <c r="G38" s="16">
        <f>'C５级比赛'!G38*12</f>
        <v>1404.48</v>
      </c>
      <c r="H38" s="16">
        <f>'C５级比赛'!H38*12</f>
        <v>1203.84</v>
      </c>
      <c r="I38" s="16">
        <f>'C５级比赛'!I38*12</f>
        <v>1053.36</v>
      </c>
      <c r="J38" s="16">
        <f>'C５级比赛'!J38*12</f>
        <v>936.32</v>
      </c>
      <c r="K38" s="16">
        <f>'C５级比赛'!K38*12</f>
        <v>842.688</v>
      </c>
      <c r="L38" s="16">
        <f>'C５级比赛'!L38*12</f>
        <v>766.08</v>
      </c>
      <c r="M38" s="16">
        <f>'C５级比赛'!M38*12</f>
        <v>702.24</v>
      </c>
      <c r="N38" s="16">
        <f>'C５级比赛'!N38*12</f>
        <v>648.221538461539</v>
      </c>
      <c r="O38" s="16">
        <f>'C５级比赛'!O38*12</f>
        <v>601.92</v>
      </c>
      <c r="P38" s="16">
        <f>'C５级比赛'!P38*12</f>
        <v>561.792</v>
      </c>
      <c r="Q38" s="16">
        <f>'C５级比赛'!Q38*12</f>
        <v>526.68</v>
      </c>
      <c r="R38" s="16">
        <f>'C５级比赛'!R38*12</f>
        <v>468.16</v>
      </c>
      <c r="S38" s="16">
        <f>'C５级比赛'!S38*12</f>
        <v>391.248</v>
      </c>
      <c r="T38" s="16">
        <f>'C５级比赛'!T38*12</f>
        <v>300.96</v>
      </c>
      <c r="U38" s="16">
        <f>'C５级比赛'!U38*12</f>
        <v>260.832</v>
      </c>
      <c r="V38" s="16">
        <f>'C５级比赛'!V38*12</f>
        <v>190.852682926829</v>
      </c>
      <c r="W38" s="16">
        <f>'C５级比赛'!W38*12</f>
        <v>153.430588235294</v>
      </c>
      <c r="X38" s="16">
        <f>'C５级比赛'!X38*12</f>
        <v>128.278032786885</v>
      </c>
      <c r="Y38" s="16">
        <f>'C５级比赛'!Y38*12</f>
        <v>110.210704225352</v>
      </c>
      <c r="Z38" s="16">
        <f>'C５级比赛'!Z38*12</f>
        <v>96.6044444444445</v>
      </c>
      <c r="AA38" s="16">
        <f>'C５级比赛'!AA38*12</f>
        <v>85.9885714285714</v>
      </c>
      <c r="AB38" s="16">
        <f>'C５级比赛'!AB38*12</f>
        <v>78.2496</v>
      </c>
      <c r="AC38" s="16">
        <f>'C５级比赛'!AC38*12</f>
        <v>64.6690909090909</v>
      </c>
      <c r="AD38" s="16">
        <f>'C５级比赛'!AD38*12</f>
        <v>55.496170212766</v>
      </c>
      <c r="AE38" s="16">
        <f>'C５级比赛'!AE38*12</f>
        <v>48.6022360248447</v>
      </c>
      <c r="AF38" s="25">
        <f>'C５级比赛'!AF38*12</f>
        <v>43.2318232044199</v>
      </c>
      <c r="AG38" s="25">
        <f>'C５级比赛'!AG38*12</f>
        <v>38.9301492537313</v>
      </c>
      <c r="AH38" s="25">
        <f>'C５级比赛'!AH38*12</f>
        <v>25.9965448504983</v>
      </c>
      <c r="AI38" s="25">
        <f>'C５级比赛'!AI38*12</f>
        <v>19.5136159600998</v>
      </c>
      <c r="AJ38" s="25">
        <f>'C５级比赛'!AJ38*12</f>
        <v>15.6186826347305</v>
      </c>
      <c r="AK38" s="39">
        <f>'C５级比赛'!AK38*12</f>
        <v>63099.4078510733</v>
      </c>
      <c r="AL38" s="27">
        <f>'C５级比赛'!AL38*12</f>
        <v>42.0382464031135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</row>
    <row r="39" spans="1:90">
      <c r="A39" s="22" t="s">
        <v>77</v>
      </c>
      <c r="B39" s="16">
        <f>'C５级比赛'!B39*12</f>
        <v>6621.12</v>
      </c>
      <c r="C39" s="16">
        <f>'C５级比赛'!C39*12</f>
        <v>6025.2192</v>
      </c>
      <c r="D39" s="16">
        <f>'C５级比赛'!D39*12</f>
        <v>5627.952</v>
      </c>
      <c r="E39" s="16">
        <f>'C５级比赛'!E39*12</f>
        <v>3939.5664</v>
      </c>
      <c r="F39" s="16">
        <f>'C５级比赛'!F39*12</f>
        <v>2251.1808</v>
      </c>
      <c r="G39" s="16">
        <f>'C５级比赛'!G39*12</f>
        <v>1875.984</v>
      </c>
      <c r="H39" s="16">
        <f>'C５级比赛'!H39*12</f>
        <v>1607.98628571429</v>
      </c>
      <c r="I39" s="16">
        <f>'C５级比赛'!I39*12</f>
        <v>1406.988</v>
      </c>
      <c r="J39" s="16">
        <f>'C５级比赛'!J39*12</f>
        <v>1250.656</v>
      </c>
      <c r="K39" s="16">
        <f>'C５级比赛'!K39*12</f>
        <v>1125.5904</v>
      </c>
      <c r="L39" s="16">
        <f>'C５级比赛'!L39*12</f>
        <v>1023.264</v>
      </c>
      <c r="M39" s="16">
        <f>'C５级比赛'!M39*12</f>
        <v>937.992</v>
      </c>
      <c r="N39" s="16">
        <f>'C５级比赛'!N39*12</f>
        <v>865.838769230769</v>
      </c>
      <c r="O39" s="16">
        <f>'C５级比赛'!O39*12</f>
        <v>803.993142857143</v>
      </c>
      <c r="P39" s="16">
        <f>'C５级比赛'!P39*12</f>
        <v>750.3936</v>
      </c>
      <c r="Q39" s="16">
        <f>'C５级比赛'!Q39*12</f>
        <v>703.494</v>
      </c>
      <c r="R39" s="16">
        <f>'C５级比赛'!R39*12</f>
        <v>625.328</v>
      </c>
      <c r="S39" s="16">
        <f>'C５级比赛'!S39*12</f>
        <v>562.7952</v>
      </c>
      <c r="T39" s="16">
        <f>'C５级比赛'!T39*12</f>
        <v>432.919384615385</v>
      </c>
      <c r="U39" s="16">
        <f>'C５级比赛'!U39*12</f>
        <v>375.1968</v>
      </c>
      <c r="V39" s="16">
        <f>'C５级比赛'!V39*12</f>
        <v>242.236097560976</v>
      </c>
      <c r="W39" s="16">
        <f>'C５级比赛'!W39*12</f>
        <v>194.738823529412</v>
      </c>
      <c r="X39" s="16">
        <f>'C５级比赛'!X39*12</f>
        <v>162.814426229508</v>
      </c>
      <c r="Y39" s="16">
        <f>'C５级比赛'!Y39*12</f>
        <v>139.882816901408</v>
      </c>
      <c r="Z39" s="16">
        <f>'C５级比赛'!Z39*12</f>
        <v>122.613333333333</v>
      </c>
      <c r="AA39" s="16">
        <f>'C５级比赛'!AA39*12</f>
        <v>109.139340659341</v>
      </c>
      <c r="AB39" s="16">
        <f>'C５级比赛'!AB39*12</f>
        <v>99.3168</v>
      </c>
      <c r="AC39" s="16">
        <f>'C５级比赛'!AC39*12</f>
        <v>82.08</v>
      </c>
      <c r="AD39" s="16">
        <f>'C５级比赛'!AD39*12</f>
        <v>70.4374468085107</v>
      </c>
      <c r="AE39" s="16">
        <f>'C５级比赛'!AE39*12</f>
        <v>61.6874534161491</v>
      </c>
      <c r="AF39" s="25">
        <f>'C５级比赛'!AF39*12</f>
        <v>54.8711602209945</v>
      </c>
      <c r="AG39" s="25">
        <f>'C５级比赛'!AG39*12</f>
        <v>49.4113432835821</v>
      </c>
      <c r="AH39" s="25">
        <f>'C５级比赛'!AH39*12</f>
        <v>32.9956146179402</v>
      </c>
      <c r="AI39" s="25">
        <f>'C５级比赛'!AI39*12</f>
        <v>24.7672817955112</v>
      </c>
      <c r="AJ39" s="25">
        <f>'C５级比赛'!AJ39*12</f>
        <v>19.8237125748503</v>
      </c>
      <c r="AK39" s="25">
        <f>'C５级比赛'!AK39*12</f>
        <v>13.2246071904128</v>
      </c>
      <c r="AL39" s="39">
        <f>'C５级比赛'!AL39*12</f>
        <v>84188.8470229511</v>
      </c>
      <c r="AM39" s="27">
        <f>'C５级比赛'!AM39*12</f>
        <v>42.0733868180665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>
      <c r="A40" s="22" t="s">
        <v>78</v>
      </c>
      <c r="B40" s="16">
        <f>'C５级比赛'!B40*12</f>
        <v>7614.288</v>
      </c>
      <c r="C40" s="16">
        <f>'C５级比赛'!C40*12</f>
        <v>6929.00208</v>
      </c>
      <c r="D40" s="16">
        <f>'C５级比赛'!D40*12</f>
        <v>6281.7876</v>
      </c>
      <c r="E40" s="16">
        <f>'C５级比赛'!E40*12</f>
        <v>5863.00176</v>
      </c>
      <c r="F40" s="16">
        <f>'C５级比赛'!F40*12</f>
        <v>3350.28672</v>
      </c>
      <c r="G40" s="16">
        <f>'C５级比赛'!G40*12</f>
        <v>2791.9056</v>
      </c>
      <c r="H40" s="16">
        <f>'C５级比赛'!H40*12</f>
        <v>2393.06194285714</v>
      </c>
      <c r="I40" s="16">
        <f>'C５级比赛'!I40*12</f>
        <v>2093.9292</v>
      </c>
      <c r="J40" s="16">
        <f>'C５级比赛'!J40*12</f>
        <v>1861.2704</v>
      </c>
      <c r="K40" s="16">
        <f>'C５级比赛'!K40*12</f>
        <v>1675.14336</v>
      </c>
      <c r="L40" s="16">
        <f>'C５级比赛'!L40*12</f>
        <v>1522.8576</v>
      </c>
      <c r="M40" s="16">
        <f>'C５级比赛'!M40*12</f>
        <v>1395.9528</v>
      </c>
      <c r="N40" s="16">
        <f>'C５级比赛'!N40*12</f>
        <v>1288.57181538462</v>
      </c>
      <c r="O40" s="16">
        <f>'C５级比赛'!O40*12</f>
        <v>1196.53097142857</v>
      </c>
      <c r="P40" s="16">
        <f>'C５级比赛'!P40*12</f>
        <v>1116.76224</v>
      </c>
      <c r="Q40" s="16">
        <f>'C５级比赛'!Q40*12</f>
        <v>1046.9646</v>
      </c>
      <c r="R40" s="16">
        <f>'C５级比赛'!R40*12</f>
        <v>930.6352</v>
      </c>
      <c r="S40" s="16">
        <f>'C５级比赛'!S40*12</f>
        <v>837.57168</v>
      </c>
      <c r="T40" s="16">
        <f>'C５级比赛'!T40*12</f>
        <v>644.285907692308</v>
      </c>
      <c r="U40" s="16">
        <f>'C５级比赛'!U40*12</f>
        <v>558.38112</v>
      </c>
      <c r="V40" s="16">
        <f>'C５级比赛'!V40*12</f>
        <v>408.571551219512</v>
      </c>
      <c r="W40" s="16">
        <f>'C５级比赛'!W40*12</f>
        <v>328.459482352941</v>
      </c>
      <c r="X40" s="16">
        <f>'C５级比赛'!X40*12</f>
        <v>274.613665573771</v>
      </c>
      <c r="Y40" s="16">
        <f>'C５级比赛'!Y40*12</f>
        <v>235.935684507042</v>
      </c>
      <c r="Z40" s="16">
        <f>'C５级比赛'!Z40*12</f>
        <v>206.807822222222</v>
      </c>
      <c r="AA40" s="16">
        <f>'C５级比赛'!AA40*12</f>
        <v>184.081687912088</v>
      </c>
      <c r="AB40" s="16">
        <f>'C５级比赛'!AB40*12</f>
        <v>167.514336</v>
      </c>
      <c r="AC40" s="16">
        <f>'C５级比赛'!AC40*12</f>
        <v>138.4416</v>
      </c>
      <c r="AD40" s="16">
        <f>'C５级比赛'!AD40*12</f>
        <v>108.004085106383</v>
      </c>
      <c r="AE40" s="16">
        <f>'C５级比赛'!AE40*12</f>
        <v>94.5874285714286</v>
      </c>
      <c r="AF40" s="25">
        <f>'C５级比赛'!AF40*12</f>
        <v>84.1357790055249</v>
      </c>
      <c r="AG40" s="25">
        <f>'C５级比赛'!AG40*12</f>
        <v>75.7640597014926</v>
      </c>
      <c r="AH40" s="25">
        <f>'C５级比赛'!AH40*12</f>
        <v>50.5932757475083</v>
      </c>
      <c r="AI40" s="25">
        <f>'C５级比赛'!AI40*12</f>
        <v>37.9764987531172</v>
      </c>
      <c r="AJ40" s="25">
        <f>'C５级比赛'!AJ40*12</f>
        <v>24.3170874251497</v>
      </c>
      <c r="AK40" s="25">
        <f>'C５级比赛'!AK40*12</f>
        <v>16.2221848202397</v>
      </c>
      <c r="AL40" s="25">
        <f>'C５级比赛'!AL40*12</f>
        <v>12.1706901098901</v>
      </c>
      <c r="AM40" s="39">
        <f>'C５级比赛'!AM40*12</f>
        <v>126145.196076179</v>
      </c>
      <c r="AN40" s="27">
        <f>'C５级比赛'!AN40*12</f>
        <v>42.0343872296496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</row>
    <row r="41" spans="1:90">
      <c r="A41" s="22" t="s">
        <v>79</v>
      </c>
      <c r="B41" s="16">
        <f>'C５级比赛'!B41*12</f>
        <v>8756.4312</v>
      </c>
      <c r="C41" s="16">
        <f>'C５级比赛'!C41*12</f>
        <v>7968.352392</v>
      </c>
      <c r="D41" s="16">
        <f>'C５级比赛'!D41*12</f>
        <v>7224.05574</v>
      </c>
      <c r="E41" s="16">
        <f>'C５级比赛'!E41*12</f>
        <v>6742.452024</v>
      </c>
      <c r="F41" s="16">
        <f>'C５级比赛'!F41*12</f>
        <v>4553.344224</v>
      </c>
      <c r="G41" s="16">
        <f>'C５级比赛'!G41*12</f>
        <v>3794.45352</v>
      </c>
      <c r="H41" s="16">
        <f>'C５级比赛'!H41*12</f>
        <v>3252.38873142857</v>
      </c>
      <c r="I41" s="16">
        <f>'C５级比赛'!I41*12</f>
        <v>2845.84014</v>
      </c>
      <c r="J41" s="16">
        <f>'C５级比赛'!J41*12</f>
        <v>2529.63568</v>
      </c>
      <c r="K41" s="16">
        <f>'C５级比赛'!K41*12</f>
        <v>2276.672112</v>
      </c>
      <c r="L41" s="16">
        <f>'C５级比赛'!L41*12</f>
        <v>2069.70192</v>
      </c>
      <c r="M41" s="16">
        <f>'C５级比赛'!M41*12</f>
        <v>1897.22676</v>
      </c>
      <c r="N41" s="16">
        <f>'C５级比赛'!N41*12</f>
        <v>1751.28624</v>
      </c>
      <c r="O41" s="16">
        <f>'C５级比赛'!O41*12</f>
        <v>1626.19436571429</v>
      </c>
      <c r="P41" s="16">
        <f>'C５级比赛'!P41*12</f>
        <v>1517.781408</v>
      </c>
      <c r="Q41" s="16">
        <f>'C５级比赛'!Q41*12</f>
        <v>1422.92007</v>
      </c>
      <c r="R41" s="16">
        <f>'C５级比赛'!R41*12</f>
        <v>1264.81784</v>
      </c>
      <c r="S41" s="16">
        <f>'C５级比赛'!S41*12</f>
        <v>1138.336056</v>
      </c>
      <c r="T41" s="16">
        <f>'C５级比赛'!T41*12</f>
        <v>875.64312</v>
      </c>
      <c r="U41" s="16">
        <f>'C５级比赛'!U41*12</f>
        <v>758.890704</v>
      </c>
      <c r="V41" s="16">
        <f>'C５级比赛'!V41*12</f>
        <v>555.28588097561</v>
      </c>
      <c r="W41" s="16">
        <f>'C５级比赛'!W41*12</f>
        <v>446.406296470588</v>
      </c>
      <c r="X41" s="16">
        <f>'C５级比赛'!X41*12</f>
        <v>373.224936393443</v>
      </c>
      <c r="Y41" s="16">
        <f>'C５级比赛'!Y41*12</f>
        <v>320.658043943662</v>
      </c>
      <c r="Z41" s="16">
        <f>'C５级比赛'!Z41*12</f>
        <v>281.070631111111</v>
      </c>
      <c r="AA41" s="16">
        <f>'C５级比赛'!AA41*12</f>
        <v>250.183748571429</v>
      </c>
      <c r="AB41" s="16">
        <f>'C５级比赛'!AB41*12</f>
        <v>227.6672112</v>
      </c>
      <c r="AC41" s="16">
        <f>'C５级比赛'!AC41*12</f>
        <v>159.20784</v>
      </c>
      <c r="AD41" s="16">
        <f>'C５级比赛'!AD41*12</f>
        <v>136.625167659574</v>
      </c>
      <c r="AE41" s="16">
        <f>'C５级比赛'!AE41*12</f>
        <v>119.653097142857</v>
      </c>
      <c r="AF41" s="25">
        <f>'C５级比赛'!AF41*12</f>
        <v>106.431760441989</v>
      </c>
      <c r="AG41" s="25">
        <f>'C５级比赛'!AG41*12</f>
        <v>95.8415355223881</v>
      </c>
      <c r="AH41" s="25">
        <f>'C５级比赛'!AH41*12</f>
        <v>58.1822671096346</v>
      </c>
      <c r="AI41" s="25">
        <f>'C５级比赛'!AI41*12</f>
        <v>43.6729735660848</v>
      </c>
      <c r="AJ41" s="25">
        <f>'C５级比赛'!AJ41*12</f>
        <v>34.9558131736527</v>
      </c>
      <c r="AK41" s="25">
        <f>'C５级比赛'!AK41*12</f>
        <v>23.3193906790945</v>
      </c>
      <c r="AL41" s="25">
        <f>'C５级比赛'!AL41*12</f>
        <v>17.495367032967</v>
      </c>
      <c r="AM41" s="25">
        <f>'C５级比赛'!AM41*12</f>
        <v>9.3339706329114</v>
      </c>
      <c r="AN41" s="39">
        <f>'C５级比赛'!AN41*12</f>
        <v>168118.057356626</v>
      </c>
      <c r="AO41" s="27">
        <f>'C５级比赛'!AO41*12</f>
        <v>42.0190095867599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>
      <c r="A42" s="22" t="s">
        <v>80</v>
      </c>
      <c r="B42" s="16">
        <f>'C５级比赛'!B42*12</f>
        <v>10069.89588</v>
      </c>
      <c r="C42" s="16">
        <f>'C５级比赛'!C42*12</f>
        <v>9163.6052508</v>
      </c>
      <c r="D42" s="16">
        <f>'C５级比赛'!D42*12</f>
        <v>8307.664101</v>
      </c>
      <c r="E42" s="16">
        <f>'C５级比赛'!E42*12</f>
        <v>7753.8198276</v>
      </c>
      <c r="F42" s="16">
        <f>'C５级比赛'!F42*12</f>
        <v>6646.1312808</v>
      </c>
      <c r="G42" s="16">
        <f>'C５级比赛'!G42*12</f>
        <v>5538.442734</v>
      </c>
      <c r="H42" s="16">
        <f>'C５级比赛'!H42*12</f>
        <v>4747.23662914286</v>
      </c>
      <c r="I42" s="16">
        <f>'C５级比赛'!I42*12</f>
        <v>4153.8320505</v>
      </c>
      <c r="J42" s="16">
        <f>'C５级比赛'!J42*12</f>
        <v>3692.295156</v>
      </c>
      <c r="K42" s="16">
        <f>'C５级比赛'!K42*12</f>
        <v>3323.0656404</v>
      </c>
      <c r="L42" s="16">
        <f>'C５级比赛'!L42*12</f>
        <v>3020.968764</v>
      </c>
      <c r="M42" s="16">
        <f>'C５级比赛'!M42*12</f>
        <v>2769.221367</v>
      </c>
      <c r="N42" s="16">
        <f>'C５级比赛'!N42*12</f>
        <v>2556.20433876923</v>
      </c>
      <c r="O42" s="16">
        <f>'C５级比赛'!O42*12</f>
        <v>2373.61831457143</v>
      </c>
      <c r="P42" s="16">
        <f>'C５级比赛'!P42*12</f>
        <v>2215.3770936</v>
      </c>
      <c r="Q42" s="16">
        <f>'C５级比赛'!Q42*12</f>
        <v>2076.91602525</v>
      </c>
      <c r="R42" s="16">
        <f>'C５级比赛'!R42*12</f>
        <v>1846.147578</v>
      </c>
      <c r="S42" s="16">
        <f>'C５级比赛'!S42*12</f>
        <v>1661.5328202</v>
      </c>
      <c r="T42" s="16">
        <f>'C５级比赛'!T42*12</f>
        <v>1278.10216938462</v>
      </c>
      <c r="U42" s="16">
        <f>'C５级比赛'!U42*12</f>
        <v>1107.6885468</v>
      </c>
      <c r="V42" s="16">
        <f>'C５级比赛'!V42*12</f>
        <v>810.503814731707</v>
      </c>
      <c r="W42" s="16">
        <f>'C５级比赛'!W42*12</f>
        <v>651.581498117647</v>
      </c>
      <c r="X42" s="16">
        <f>'C５级比赛'!X42*12</f>
        <v>544.764859081967</v>
      </c>
      <c r="Y42" s="16">
        <f>'C５级比赛'!Y42*12</f>
        <v>468.037414140845</v>
      </c>
      <c r="Z42" s="16">
        <f>'C５级比赛'!Z42*12</f>
        <v>410.255017333333</v>
      </c>
      <c r="AA42" s="16">
        <f>'C５级比赛'!AA42*12</f>
        <v>365.172048395604</v>
      </c>
      <c r="AB42" s="16">
        <f>'C５级比赛'!AB42*12</f>
        <v>332.30656404</v>
      </c>
      <c r="AC42" s="16">
        <f>'C５级比赛'!AC42*12</f>
        <v>274.633524</v>
      </c>
      <c r="AD42" s="16">
        <f>'C５级比赛'!AD42*12</f>
        <v>235.678414212766</v>
      </c>
      <c r="AE42" s="16">
        <f>'C５级比赛'!AE42*12</f>
        <v>206.401592571429</v>
      </c>
      <c r="AF42" s="25">
        <f>'C５级比赛'!AF42*12</f>
        <v>183.594786762431</v>
      </c>
      <c r="AG42" s="25">
        <f>'C５级比赛'!AG42*12</f>
        <v>165.326648776119</v>
      </c>
      <c r="AH42" s="25">
        <f>'C５级比赛'!AH42*12</f>
        <v>100.36441076412</v>
      </c>
      <c r="AI42" s="25">
        <f>'C５级比赛'!AI42*12</f>
        <v>75.3358794014963</v>
      </c>
      <c r="AJ42" s="25">
        <f>'C５级比赛'!AJ42*12</f>
        <v>60.2987777245509</v>
      </c>
      <c r="AK42" s="25">
        <f>'C５级比赛'!AK42*12</f>
        <v>33.5216241011984</v>
      </c>
      <c r="AL42" s="25">
        <f>'C５级比赛'!AL42*12</f>
        <v>20.1196720879121</v>
      </c>
      <c r="AM42" s="25">
        <f>'C５级比赛'!AM42*12</f>
        <v>13.4175827848101</v>
      </c>
      <c r="AN42" s="25">
        <f>'C５级比赛'!AN42*12</f>
        <v>9.05837710344828</v>
      </c>
      <c r="AO42" s="39">
        <f>'C５级比赛'!AO42*12</f>
        <v>252338.95666877</v>
      </c>
      <c r="AP42" s="27">
        <f>'C５级比赛'!AP42*12</f>
        <v>42.0494845307066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</row>
    <row r="43" spans="1:90">
      <c r="A43" s="22" t="s">
        <v>81</v>
      </c>
      <c r="B43" s="16">
        <f>'C５级比赛'!B43*12</f>
        <v>11580.380262</v>
      </c>
      <c r="C43" s="16">
        <f>'C５级比赛'!C43*12</f>
        <v>10538.14603842</v>
      </c>
      <c r="D43" s="16">
        <f>'C５级比赛'!D43*12</f>
        <v>9553.81371615</v>
      </c>
      <c r="E43" s="16">
        <f>'C５级比赛'!E43*12</f>
        <v>8916.89280174</v>
      </c>
      <c r="F43" s="16">
        <f>'C５级比赛'!F43*12</f>
        <v>8337.87378864</v>
      </c>
      <c r="G43" s="16">
        <f>'C５级比赛'!G43*12</f>
        <v>6948.2281572</v>
      </c>
      <c r="H43" s="16">
        <f>'C５级比赛'!H43*12</f>
        <v>5955.62413474286</v>
      </c>
      <c r="I43" s="16">
        <f>'C５级比赛'!I43*12</f>
        <v>5211.1711179</v>
      </c>
      <c r="J43" s="16">
        <f>'C５级比赛'!J43*12</f>
        <v>4632.1521048</v>
      </c>
      <c r="K43" s="16">
        <f>'C５级比赛'!K43*12</f>
        <v>4168.93689432</v>
      </c>
      <c r="L43" s="16">
        <f>'C５级比赛'!L43*12</f>
        <v>3789.9426312</v>
      </c>
      <c r="M43" s="16">
        <f>'C５级比赛'!M43*12</f>
        <v>3474.1140786</v>
      </c>
      <c r="N43" s="16">
        <f>'C５级比赛'!N43*12</f>
        <v>3206.87453409231</v>
      </c>
      <c r="O43" s="16">
        <f>'C５级比赛'!O43*12</f>
        <v>2977.81206737143</v>
      </c>
      <c r="P43" s="16">
        <f>'C５级比赛'!P43*12</f>
        <v>2779.29126288</v>
      </c>
      <c r="Q43" s="16">
        <f>'C５级比赛'!Q43*12</f>
        <v>2605.58555895</v>
      </c>
      <c r="R43" s="16">
        <f>'C５级比赛'!R43*12</f>
        <v>2316.0760524</v>
      </c>
      <c r="S43" s="16">
        <f>'C５级比赛'!S43*12</f>
        <v>2084.46844716</v>
      </c>
      <c r="T43" s="16">
        <f>'C５级比赛'!T43*12</f>
        <v>1603.43726704615</v>
      </c>
      <c r="U43" s="16">
        <f>'C５级比赛'!U43*12</f>
        <v>1389.64563144</v>
      </c>
      <c r="V43" s="16">
        <f>'C５级比赛'!V43*12</f>
        <v>1016.81387666341</v>
      </c>
      <c r="W43" s="16">
        <f>'C５级比赛'!W43*12</f>
        <v>817.438606729412</v>
      </c>
      <c r="X43" s="16">
        <f>'C５级比赛'!X43*12</f>
        <v>683.432277757377</v>
      </c>
      <c r="Y43" s="16">
        <f>'C５级比赛'!Y43*12</f>
        <v>587.174210467606</v>
      </c>
      <c r="Z43" s="16">
        <f>'C５级比赛'!Z43*12</f>
        <v>514.6835672</v>
      </c>
      <c r="AA43" s="16">
        <f>'C５级比赛'!AA43*12</f>
        <v>458.124933441758</v>
      </c>
      <c r="AB43" s="16">
        <f>'C５级比赛'!AB43*12</f>
        <v>416.893689432</v>
      </c>
      <c r="AC43" s="16">
        <f>'C５级比赛'!AC43*12</f>
        <v>344.5402392</v>
      </c>
      <c r="AD43" s="16">
        <f>'C５级比赛'!AD43*12</f>
        <v>287.456247638298</v>
      </c>
      <c r="AE43" s="16">
        <f>'C５级比赛'!AE43*12</f>
        <v>251.747397</v>
      </c>
      <c r="AF43" s="25">
        <f>'C５级比赛'!AF43*12</f>
        <v>223.930005066298</v>
      </c>
      <c r="AG43" s="25">
        <f>'C５级比赛'!AG43*12</f>
        <v>201.648412522388</v>
      </c>
      <c r="AH43" s="25">
        <f>'C５级比赛'!AH43*12</f>
        <v>126.960979616611</v>
      </c>
      <c r="AI43" s="25">
        <f>'C５级比赛'!AI43*12</f>
        <v>95.2998874428928</v>
      </c>
      <c r="AJ43" s="25">
        <f>'C５级比赛'!AJ43*12</f>
        <v>71.6550475293413</v>
      </c>
      <c r="AK43" s="25">
        <f>'C５级比赛'!AK43*12</f>
        <v>46.2598412596538</v>
      </c>
      <c r="AL43" s="25">
        <f>'C５级比赛'!AL43*12</f>
        <v>34.7064343516484</v>
      </c>
      <c r="AM43" s="25">
        <f>'C５级比赛'!AM43*12</f>
        <v>23.1453303037975</v>
      </c>
      <c r="AN43" s="25">
        <f>'C５级比赛'!AN43*12</f>
        <v>17.3618894482759</v>
      </c>
      <c r="AO43" s="25">
        <f>'C５级比赛'!AO43*12</f>
        <v>10.8047533267577</v>
      </c>
      <c r="AP43" s="39">
        <f>'C５级比赛'!AP43*12</f>
        <v>336796.83929811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="2" customFormat="1" ht="21.6" spans="1:90">
      <c r="A44" s="19" t="s">
        <v>82</v>
      </c>
      <c r="B44" s="13">
        <f>'C５级比赛'!B44*12</f>
        <v>13317.4373013</v>
      </c>
      <c r="C44" s="13">
        <f>'C５级比赛'!C44*12</f>
        <v>12118.867944183</v>
      </c>
      <c r="D44" s="13">
        <f>'C５级比赛'!D44*12</f>
        <v>10986.8857735725</v>
      </c>
      <c r="E44" s="13">
        <f>'C５级比赛'!E44*12</f>
        <v>10254.426722001</v>
      </c>
      <c r="F44" s="13">
        <f>'C５级比赛'!F44*12</f>
        <v>9588.554856936</v>
      </c>
      <c r="G44" s="13">
        <f>'C５级比赛'!G44*12</f>
        <v>7990.46238078</v>
      </c>
      <c r="H44" s="13">
        <f>'C５级比赛'!H44*12</f>
        <v>6848.96775495428</v>
      </c>
      <c r="I44" s="13">
        <f>'C５级比赛'!I44*12</f>
        <v>5992.846785585</v>
      </c>
      <c r="J44" s="13">
        <f>'C５级比赛'!J44*12</f>
        <v>5326.97492052</v>
      </c>
      <c r="K44" s="13">
        <f>'C５级比赛'!K44*12</f>
        <v>4794.277428468</v>
      </c>
      <c r="L44" s="13">
        <f>'C５级比赛'!L44*12</f>
        <v>4358.43402588</v>
      </c>
      <c r="M44" s="13">
        <f>'C５级比赛'!M44*12</f>
        <v>3995.23119039</v>
      </c>
      <c r="N44" s="13">
        <f>'C５级比赛'!N44*12</f>
        <v>3687.90571420615</v>
      </c>
      <c r="O44" s="13">
        <f>'C５级比赛'!O44*12</f>
        <v>3424.48387747714</v>
      </c>
      <c r="P44" s="13">
        <f>'C５级比赛'!P44*12</f>
        <v>3196.184952312</v>
      </c>
      <c r="Q44" s="13">
        <f>'C５级比赛'!Q44*12</f>
        <v>2996.4233927925</v>
      </c>
      <c r="R44" s="13">
        <f>'C５级比赛'!R44*12</f>
        <v>2663.48746026</v>
      </c>
      <c r="S44" s="13">
        <f>'C５级比赛'!S44*12</f>
        <v>2397.138714234</v>
      </c>
      <c r="T44" s="13">
        <f>'C５级比赛'!T44*12</f>
        <v>1843.95285710308</v>
      </c>
      <c r="U44" s="13">
        <f>'C５级比赛'!U44*12</f>
        <v>1598.092476156</v>
      </c>
      <c r="V44" s="13">
        <f>'C５级比赛'!V44*12</f>
        <v>1169.33595816293</v>
      </c>
      <c r="W44" s="13">
        <f>'C５级比赛'!W44*12</f>
        <v>940.054397738824</v>
      </c>
      <c r="X44" s="13">
        <f>'C５级比赛'!X44*12</f>
        <v>785.947119420984</v>
      </c>
      <c r="Y44" s="13">
        <f>'C５级比赛'!Y44*12</f>
        <v>675.250342037746</v>
      </c>
      <c r="Z44" s="13">
        <f>'C５级比赛'!Z44*12</f>
        <v>591.88610228</v>
      </c>
      <c r="AA44" s="13">
        <f>'C５级比赛'!AA44*12</f>
        <v>526.843673458022</v>
      </c>
      <c r="AB44" s="13">
        <f>'C５级比赛'!AB44*12</f>
        <v>479.4277428468</v>
      </c>
      <c r="AC44" s="13">
        <f>'C５级比赛'!AC44*12</f>
        <v>396.22127508</v>
      </c>
      <c r="AD44" s="13">
        <f>'C５级比赛'!AD44*12</f>
        <v>340.019675777872</v>
      </c>
      <c r="AE44" s="13">
        <f>'C５级比赛'!AE44*12</f>
        <v>297.781206737143</v>
      </c>
      <c r="AF44" s="29">
        <f>'C５级比赛'!AF44*12</f>
        <v>264.877205992707</v>
      </c>
      <c r="AG44" s="29">
        <f>'C５级比赛'!AG44*12</f>
        <v>238.52126509791</v>
      </c>
      <c r="AH44" s="29">
        <f>'C５级比赛'!AH44*12</f>
        <v>159.278319882658</v>
      </c>
      <c r="AI44" s="29">
        <f>'C５级比赛'!AI44*12</f>
        <v>119.558040610175</v>
      </c>
      <c r="AJ44" s="29">
        <f>'C５级比赛'!AJ44*12</f>
        <v>95.6941602488623</v>
      </c>
      <c r="AK44" s="29">
        <f>'C５级比赛'!AK44*12</f>
        <v>63.8385809383222</v>
      </c>
      <c r="AL44" s="29">
        <f>'C５级比赛'!AL44*12</f>
        <v>46.5644660884615</v>
      </c>
      <c r="AM44" s="29">
        <f>'C５级比赛'!AM44*12</f>
        <v>31.0533181575949</v>
      </c>
      <c r="AN44" s="29">
        <f>'C５级比赛'!AN44*12</f>
        <v>23.2938683431035</v>
      </c>
      <c r="AO44" s="29">
        <f>'C５级比赛'!AO44*12</f>
        <v>15.5318329072143</v>
      </c>
      <c r="AP44" s="29">
        <f>'C５级比赛'!AP44*12</f>
        <v>11.6498451773432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</row>
    <row r="45" spans="1:90">
      <c r="A45" s="22" t="s">
        <v>83</v>
      </c>
      <c r="B45" s="16">
        <f>'C５级比赛'!B45*12</f>
        <v>13317.4373013</v>
      </c>
      <c r="C45" s="16">
        <f>'C５级比赛'!C45*12</f>
        <v>12118.867944183</v>
      </c>
      <c r="D45" s="16">
        <f>'C５级比赛'!D45*12</f>
        <v>10986.8857735725</v>
      </c>
      <c r="E45" s="16">
        <f>'C５级比赛'!E45*12</f>
        <v>10254.426722001</v>
      </c>
      <c r="F45" s="16">
        <f>'C５级比赛'!F45*12</f>
        <v>9588.554856936</v>
      </c>
      <c r="G45" s="16">
        <f>'C５级比赛'!G45*12</f>
        <v>7990.46238078</v>
      </c>
      <c r="H45" s="16">
        <f>'C５级比赛'!H45*12</f>
        <v>6848.96775495428</v>
      </c>
      <c r="I45" s="16">
        <f>'C５级比赛'!I45*12</f>
        <v>5992.846785585</v>
      </c>
      <c r="J45" s="16">
        <f>'C５级比赛'!J45*12</f>
        <v>5326.97492052</v>
      </c>
      <c r="K45" s="16">
        <f>'C５级比赛'!K45*12</f>
        <v>4794.277428468</v>
      </c>
      <c r="L45" s="16">
        <f>'C５级比赛'!L45*12</f>
        <v>4358.43402588</v>
      </c>
      <c r="M45" s="16">
        <f>'C５级比赛'!M45*12</f>
        <v>3995.23119039</v>
      </c>
      <c r="N45" s="16">
        <f>'C５级比赛'!N45*12</f>
        <v>3687.90571420615</v>
      </c>
      <c r="O45" s="16">
        <f>'C５级比赛'!O45*12</f>
        <v>3424.48387747714</v>
      </c>
      <c r="P45" s="16">
        <f>'C５级比赛'!P45*12</f>
        <v>3196.184952312</v>
      </c>
      <c r="Q45" s="16">
        <f>'C５级比赛'!Q45*12</f>
        <v>2996.4233927925</v>
      </c>
      <c r="R45" s="16">
        <f>'C５级比赛'!R45*12</f>
        <v>2663.48746026</v>
      </c>
      <c r="S45" s="16">
        <f>'C５级比赛'!S45*12</f>
        <v>2397.138714234</v>
      </c>
      <c r="T45" s="16">
        <f>'C５级比赛'!T45*12</f>
        <v>1843.95285710308</v>
      </c>
      <c r="U45" s="16">
        <f>'C５级比赛'!U45*12</f>
        <v>1598.092476156</v>
      </c>
      <c r="V45" s="16">
        <f>'C５级比赛'!V45*12</f>
        <v>1169.33595816293</v>
      </c>
      <c r="W45" s="16">
        <f>'C５级比赛'!W45*12</f>
        <v>940.054397738824</v>
      </c>
      <c r="X45" s="16">
        <f>'C５级比赛'!X45*12</f>
        <v>785.947119420984</v>
      </c>
      <c r="Y45" s="16">
        <f>'C５级比赛'!Y45*12</f>
        <v>675.250342037746</v>
      </c>
      <c r="Z45" s="16">
        <f>'C５级比赛'!Z45*12</f>
        <v>591.88610228</v>
      </c>
      <c r="AA45" s="16">
        <f>'C５级比赛'!AA45*12</f>
        <v>526.843673458022</v>
      </c>
      <c r="AB45" s="16">
        <f>'C５级比赛'!AB45*12</f>
        <v>479.4277428468</v>
      </c>
      <c r="AC45" s="16">
        <f>'C５级比赛'!AC45*12</f>
        <v>396.22127508</v>
      </c>
      <c r="AD45" s="16">
        <f>'C５级比赛'!AD45*12</f>
        <v>340.019675777872</v>
      </c>
      <c r="AE45" s="16">
        <f>'C５级比赛'!AE45*12</f>
        <v>297.781206737143</v>
      </c>
      <c r="AF45" s="25">
        <f>'C５级比赛'!AF45*12</f>
        <v>264.877205992707</v>
      </c>
      <c r="AG45" s="25">
        <f>'C５级比赛'!AG45*12</f>
        <v>238.52126509791</v>
      </c>
      <c r="AH45" s="25">
        <f>'C５级比赛'!AH45*12</f>
        <v>159.278319882658</v>
      </c>
      <c r="AI45" s="25">
        <f>'C５级比赛'!AI45*12</f>
        <v>119.558040610175</v>
      </c>
      <c r="AJ45" s="25">
        <f>'C５级比赛'!AJ45*12</f>
        <v>95.6941602488623</v>
      </c>
      <c r="AK45" s="25">
        <f>'C５级比赛'!AK45*12</f>
        <v>63.8385809383222</v>
      </c>
      <c r="AL45" s="25">
        <f>'C５级比赛'!AL45*12</f>
        <v>46.5644660884615</v>
      </c>
      <c r="AM45" s="25">
        <f>'C５级比赛'!AM45*12</f>
        <v>31.0533181575949</v>
      </c>
      <c r="AN45" s="25">
        <f>'C５级比赛'!AN45*12</f>
        <v>23.2938683431035</v>
      </c>
      <c r="AO45" s="25">
        <f>'C５级比赛'!AO45*12</f>
        <v>15.5318329072143</v>
      </c>
      <c r="AP45" s="25">
        <f>'C５级比赛'!AP45*12</f>
        <v>11.6498451773432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</row>
    <row r="46" s="5" customFormat="1" spans="1:9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4"/>
      <c r="AR46" s="24"/>
      <c r="AS46" s="24"/>
      <c r="AT46" s="24"/>
      <c r="AU46" s="24"/>
      <c r="AV46" s="24"/>
      <c r="AW46" s="24"/>
      <c r="AX46" s="24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L67"/>
  <sheetViews>
    <sheetView topLeftCell="Z15" workbookViewId="0">
      <selection activeCell="H20" sqref="H20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88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'C５级比赛'!B4*9</f>
        <v>45</v>
      </c>
      <c r="C4" s="38">
        <v>45</v>
      </c>
      <c r="D4" s="15">
        <v>22.5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50">
      <c r="A5" s="17" t="s">
        <v>43</v>
      </c>
      <c r="B5" s="18">
        <f>'C５级比赛'!B5*9</f>
        <v>54</v>
      </c>
      <c r="C5" s="18">
        <f>'C５级比赛'!C5*9</f>
        <v>37.8</v>
      </c>
      <c r="D5" s="38">
        <f>'C５级比赛'!D5*9</f>
        <v>91.8</v>
      </c>
      <c r="E5" s="15">
        <f>'C５级比赛'!E5*9</f>
        <v>22.95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3"/>
      <c r="AR5" s="23"/>
      <c r="AS5" s="23"/>
      <c r="AT5" s="23"/>
      <c r="AU5" s="23"/>
      <c r="AV5" s="23"/>
      <c r="AW5" s="23"/>
      <c r="AX5" s="23"/>
    </row>
    <row r="6" spans="1:50">
      <c r="A6" s="17" t="s">
        <v>44</v>
      </c>
      <c r="B6" s="18">
        <f>'C５级比赛'!B6*9</f>
        <v>63</v>
      </c>
      <c r="C6" s="18">
        <f>'C５级比赛'!C6*9</f>
        <v>44.1</v>
      </c>
      <c r="D6" s="16">
        <f>'C５级比赛'!D6*9</f>
        <v>31.5</v>
      </c>
      <c r="E6" s="38">
        <f>'C５级比赛'!E6*9</f>
        <v>138.6</v>
      </c>
      <c r="F6" s="15">
        <f>'C５级比赛'!F6*9</f>
        <v>23.1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3"/>
      <c r="AR6" s="23"/>
      <c r="AS6" s="23"/>
      <c r="AT6" s="23"/>
      <c r="AU6" s="23"/>
      <c r="AV6" s="23"/>
      <c r="AW6" s="23"/>
      <c r="AX6" s="23"/>
    </row>
    <row r="7" spans="1:50">
      <c r="A7" s="17" t="s">
        <v>45</v>
      </c>
      <c r="B7" s="18">
        <f>'C５级比赛'!B7*9</f>
        <v>76.5</v>
      </c>
      <c r="C7" s="18">
        <f>'C５级比赛'!C7*9</f>
        <v>53.55</v>
      </c>
      <c r="D7" s="16">
        <f>'C５级比赛'!D7*9</f>
        <v>38.25</v>
      </c>
      <c r="E7" s="16">
        <f>'C５级比赛'!E7*9</f>
        <v>26.775</v>
      </c>
      <c r="F7" s="38">
        <f>'C５级比赛'!F7*9</f>
        <v>195.075</v>
      </c>
      <c r="G7" s="15">
        <f>'C５级比赛'!G7*9</f>
        <v>24.384375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3"/>
      <c r="AR7" s="23"/>
      <c r="AS7" s="23"/>
      <c r="AT7" s="23"/>
      <c r="AU7" s="23"/>
      <c r="AV7" s="23"/>
      <c r="AW7" s="23"/>
      <c r="AX7" s="23"/>
    </row>
    <row r="8" s="3" customFormat="1" spans="1:50">
      <c r="A8" s="19" t="s">
        <v>46</v>
      </c>
      <c r="B8" s="13">
        <f>'C５级比赛'!B8*9</f>
        <v>90</v>
      </c>
      <c r="C8" s="13">
        <f>'C５级比赛'!C8*9</f>
        <v>63</v>
      </c>
      <c r="D8" s="13">
        <f>'C５级比赛'!D8*9</f>
        <v>45</v>
      </c>
      <c r="E8" s="13">
        <f>'C５级比赛'!E8*9</f>
        <v>31.5</v>
      </c>
      <c r="F8" s="13">
        <f>'C５级比赛'!F8*9</f>
        <v>18</v>
      </c>
      <c r="G8" s="38">
        <f>'C５级比赛'!G8*9</f>
        <v>247.5</v>
      </c>
      <c r="H8" s="15">
        <f>'C５级比赛'!H8*9</f>
        <v>24.75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50">
      <c r="A9" s="17" t="s">
        <v>47</v>
      </c>
      <c r="B9" s="18">
        <f>'C５级比赛'!B9*9</f>
        <v>108</v>
      </c>
      <c r="C9" s="18">
        <f>'C５级比赛'!C9*9</f>
        <v>75.6</v>
      </c>
      <c r="D9" s="16">
        <f>'C５级比赛'!D9*9</f>
        <v>54</v>
      </c>
      <c r="E9" s="16">
        <f>'C５级比赛'!E9*9</f>
        <v>37.8</v>
      </c>
      <c r="F9" s="16">
        <f>'C５级比赛'!F9*9</f>
        <v>21.6</v>
      </c>
      <c r="G9" s="16">
        <f>'C５级比赛'!G9*9</f>
        <v>18</v>
      </c>
      <c r="H9" s="38">
        <f>'C５级比赛'!H9*9</f>
        <v>315</v>
      </c>
      <c r="I9" s="15">
        <f>'C５级比赛'!I9*9</f>
        <v>26.25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3"/>
      <c r="AR9" s="23"/>
      <c r="AS9" s="23"/>
      <c r="AT9" s="23"/>
      <c r="AU9" s="23"/>
      <c r="AV9" s="23"/>
      <c r="AW9" s="23"/>
      <c r="AX9" s="23"/>
    </row>
    <row r="10" spans="1:50">
      <c r="A10" s="20" t="s">
        <v>48</v>
      </c>
      <c r="B10" s="18">
        <f>'C５级比赛'!B10*9</f>
        <v>121.5</v>
      </c>
      <c r="C10" s="18">
        <f>'C５级比赛'!C10*9</f>
        <v>85.05</v>
      </c>
      <c r="D10" s="16">
        <f>'C５级比赛'!D10*9</f>
        <v>60.75</v>
      </c>
      <c r="E10" s="16">
        <f>'C５级比赛'!E10*9</f>
        <v>42.525</v>
      </c>
      <c r="F10" s="16">
        <f>'C５级比赛'!F10*9</f>
        <v>24.3</v>
      </c>
      <c r="G10" s="16">
        <f>'C５级比赛'!G10*9</f>
        <v>20.25</v>
      </c>
      <c r="H10" s="16">
        <f>'C５级比赛'!H10*9</f>
        <v>17.3571428571429</v>
      </c>
      <c r="I10" s="38">
        <f>'C５级比赛'!I10*9</f>
        <v>371.732142857143</v>
      </c>
      <c r="J10" s="15">
        <f>'C５级比赛'!J10*9</f>
        <v>26.5522959183673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3"/>
      <c r="AR10" s="23"/>
      <c r="AS10" s="23"/>
      <c r="AT10" s="23"/>
      <c r="AU10" s="23"/>
      <c r="AV10" s="23"/>
      <c r="AW10" s="23"/>
      <c r="AX10" s="23"/>
    </row>
    <row r="11" spans="1:50">
      <c r="A11" s="20" t="s">
        <v>49</v>
      </c>
      <c r="B11" s="18">
        <f>'C５级比赛'!B11*9</f>
        <v>139.5</v>
      </c>
      <c r="C11" s="18">
        <f>'C５级比赛'!C11*9</f>
        <v>97.65</v>
      </c>
      <c r="D11" s="16">
        <f>'C５级比赛'!D11*9</f>
        <v>69.75</v>
      </c>
      <c r="E11" s="16">
        <f>'C５级比赛'!E11*9</f>
        <v>48.825</v>
      </c>
      <c r="F11" s="16">
        <f>'C５级比赛'!F11*9</f>
        <v>27.9</v>
      </c>
      <c r="G11" s="16">
        <f>'C５级比赛'!G11*9</f>
        <v>23.25</v>
      </c>
      <c r="H11" s="16">
        <f>'C５级比赛'!H11*9</f>
        <v>19.9285714285714</v>
      </c>
      <c r="I11" s="16">
        <f>'C５级比赛'!I11*9</f>
        <v>17.4375</v>
      </c>
      <c r="J11" s="38">
        <f>'C５级比赛'!J11*9</f>
        <v>444.241071428571</v>
      </c>
      <c r="K11" s="15">
        <f>'C５级比赛'!K11*9</f>
        <v>27.7650669642857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3"/>
      <c r="AR11" s="23"/>
      <c r="AS11" s="23"/>
      <c r="AT11" s="23"/>
      <c r="AU11" s="23"/>
      <c r="AV11" s="23"/>
      <c r="AW11" s="23"/>
      <c r="AX11" s="23"/>
    </row>
    <row r="12" spans="1:50">
      <c r="A12" s="20" t="s">
        <v>50</v>
      </c>
      <c r="B12" s="18">
        <f>'C５级比赛'!B12*9</f>
        <v>153</v>
      </c>
      <c r="C12" s="18">
        <f>'C５级比赛'!C12*9</f>
        <v>107.1</v>
      </c>
      <c r="D12" s="16">
        <f>'C５级比赛'!D12*9</f>
        <v>76.5</v>
      </c>
      <c r="E12" s="16">
        <f>'C５级比赛'!E12*9</f>
        <v>53.55</v>
      </c>
      <c r="F12" s="16">
        <f>'C５级比赛'!F12*9</f>
        <v>30.6</v>
      </c>
      <c r="G12" s="16">
        <f>'C５级比赛'!G12*9</f>
        <v>25.5</v>
      </c>
      <c r="H12" s="16">
        <f>'C５级比赛'!H12*9</f>
        <v>21.8571428571429</v>
      </c>
      <c r="I12" s="16">
        <f>'C５级比赛'!I12*9</f>
        <v>19.125</v>
      </c>
      <c r="J12" s="16">
        <f>'C５级比赛'!J12*9</f>
        <v>17</v>
      </c>
      <c r="K12" s="38">
        <f>'C５级比赛'!K12*9</f>
        <v>504.232142857143</v>
      </c>
      <c r="L12" s="15">
        <f>'C５级比赛'!L12*9</f>
        <v>28.0128968253968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3"/>
      <c r="AR12" s="23"/>
      <c r="AS12" s="23"/>
      <c r="AT12" s="23"/>
      <c r="AU12" s="23"/>
      <c r="AV12" s="23"/>
      <c r="AW12" s="23"/>
      <c r="AX12" s="23"/>
    </row>
    <row r="13" s="3" customFormat="1" spans="1:50">
      <c r="A13" s="21" t="s">
        <v>51</v>
      </c>
      <c r="B13" s="18">
        <f>'C５级比赛'!B13*9</f>
        <v>166.5</v>
      </c>
      <c r="C13" s="18">
        <f>'C５级比赛'!C13*9</f>
        <v>116.55</v>
      </c>
      <c r="D13" s="16">
        <f>'C５级比赛'!D13*9</f>
        <v>83.25</v>
      </c>
      <c r="E13" s="16">
        <f>'C５级比赛'!E13*9</f>
        <v>58.275</v>
      </c>
      <c r="F13" s="16">
        <f>'C５级比赛'!F13*9</f>
        <v>33.3</v>
      </c>
      <c r="G13" s="16">
        <f>'C５级比赛'!G13*9</f>
        <v>27.75</v>
      </c>
      <c r="H13" s="16">
        <f>'C５级比赛'!H13*9</f>
        <v>23.7857142857143</v>
      </c>
      <c r="I13" s="16">
        <f>'C５级比赛'!I13*9</f>
        <v>20.8125</v>
      </c>
      <c r="J13" s="16">
        <f>'C５级比赛'!J13*9</f>
        <v>18.5</v>
      </c>
      <c r="K13" s="16">
        <f>'C５级比赛'!K13*9</f>
        <v>16.65</v>
      </c>
      <c r="L13" s="38">
        <f>'C５级比赛'!L13*9</f>
        <v>565.373214285714</v>
      </c>
      <c r="M13" s="15">
        <f>'C５级比赛'!M13*9</f>
        <v>28.2686607142857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50">
      <c r="A14" s="20" t="s">
        <v>52</v>
      </c>
      <c r="B14" s="18">
        <f>'C５级比赛'!B14*9</f>
        <v>180</v>
      </c>
      <c r="C14" s="18">
        <f>'C５级比赛'!C14*9</f>
        <v>126</v>
      </c>
      <c r="D14" s="16">
        <f>'C５级比赛'!D14*9</f>
        <v>90</v>
      </c>
      <c r="E14" s="16">
        <f>'C５级比赛'!E14*9</f>
        <v>63</v>
      </c>
      <c r="F14" s="16">
        <f>'C５级比赛'!F14*9</f>
        <v>36</v>
      </c>
      <c r="G14" s="16">
        <f>'C５级比赛'!G14*9</f>
        <v>30</v>
      </c>
      <c r="H14" s="16">
        <f>'C５级比赛'!H14*9</f>
        <v>25.7142857142857</v>
      </c>
      <c r="I14" s="16">
        <f>'C５级比赛'!I14*9</f>
        <v>22.5</v>
      </c>
      <c r="J14" s="16">
        <f>'C５级比赛'!J14*9</f>
        <v>20</v>
      </c>
      <c r="K14" s="16">
        <f>'C５级比赛'!K14*9</f>
        <v>18</v>
      </c>
      <c r="L14" s="16">
        <f>'C５级比赛'!L14*9</f>
        <v>16.3636363636364</v>
      </c>
      <c r="M14" s="38">
        <f>'C５级比赛'!M14*9</f>
        <v>627.577922077922</v>
      </c>
      <c r="N14" s="15">
        <f>'C５级比赛'!N14*9</f>
        <v>28.5262691853601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3"/>
      <c r="AR14" s="23"/>
      <c r="AS14" s="23"/>
      <c r="AT14" s="23"/>
      <c r="AU14" s="23"/>
      <c r="AV14" s="23"/>
      <c r="AW14" s="23"/>
      <c r="AX14" s="23"/>
    </row>
    <row r="15" spans="1:50">
      <c r="A15" s="20" t="s">
        <v>53</v>
      </c>
      <c r="B15" s="18">
        <f>'C５级比赛'!B15*9</f>
        <v>193.5</v>
      </c>
      <c r="C15" s="18">
        <f>'C５级比赛'!C15*9</f>
        <v>135.45</v>
      </c>
      <c r="D15" s="16">
        <f>'C５级比赛'!D15*9</f>
        <v>96.75</v>
      </c>
      <c r="E15" s="16">
        <f>'C５级比赛'!E15*9</f>
        <v>67.725</v>
      </c>
      <c r="F15" s="16">
        <f>'C５级比赛'!F15*9</f>
        <v>38.7</v>
      </c>
      <c r="G15" s="16">
        <f>'C５级比赛'!G15*9</f>
        <v>32.25</v>
      </c>
      <c r="H15" s="16">
        <f>'C５级比赛'!H15*9</f>
        <v>27.6428571428571</v>
      </c>
      <c r="I15" s="16">
        <f>'C５级比赛'!I15*9</f>
        <v>24.1875</v>
      </c>
      <c r="J15" s="16">
        <f>'C５级比赛'!J15*9</f>
        <v>21.5</v>
      </c>
      <c r="K15" s="16">
        <f>'C５级比赛'!K15*9</f>
        <v>19.35</v>
      </c>
      <c r="L15" s="16">
        <f>'C５级比赛'!L15*9</f>
        <v>17.5909090909091</v>
      </c>
      <c r="M15" s="16">
        <f>'C５级比赛'!M15*9</f>
        <v>16.125</v>
      </c>
      <c r="N15" s="38">
        <f>'C５级比赛'!N15*9</f>
        <v>690.771266233766</v>
      </c>
      <c r="O15" s="15">
        <f>'C５级比赛'!O15*9</f>
        <v>28.7821360930736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3"/>
      <c r="AR15" s="23"/>
      <c r="AS15" s="23"/>
      <c r="AT15" s="23"/>
      <c r="AU15" s="23"/>
      <c r="AV15" s="23"/>
      <c r="AW15" s="23"/>
      <c r="AX15" s="23"/>
    </row>
    <row r="16" spans="1:50">
      <c r="A16" s="20" t="s">
        <v>54</v>
      </c>
      <c r="B16" s="18">
        <f>'C５级比赛'!B16*9</f>
        <v>205.2</v>
      </c>
      <c r="C16" s="18">
        <f>'C５级比赛'!C16*9</f>
        <v>143.64</v>
      </c>
      <c r="D16" s="16">
        <f>'C５级比赛'!D16*9</f>
        <v>102.6</v>
      </c>
      <c r="E16" s="16">
        <f>'C５级比赛'!E16*9</f>
        <v>71.82</v>
      </c>
      <c r="F16" s="16">
        <f>'C５级比赛'!F16*9</f>
        <v>41.04</v>
      </c>
      <c r="G16" s="16">
        <f>'C５级比赛'!G16*9</f>
        <v>34.2</v>
      </c>
      <c r="H16" s="16">
        <f>'C５级比赛'!H16*9</f>
        <v>29.3142857142857</v>
      </c>
      <c r="I16" s="16">
        <f>'C５级比赛'!I16*9</f>
        <v>25.65</v>
      </c>
      <c r="J16" s="16">
        <f>'C５级比赛'!J16*9</f>
        <v>22.8</v>
      </c>
      <c r="K16" s="16">
        <f>'C５级比赛'!K16*9</f>
        <v>20.52</v>
      </c>
      <c r="L16" s="16">
        <f>'C５级比赛'!L16*9</f>
        <v>18.6545454545455</v>
      </c>
      <c r="M16" s="16">
        <f>'C５级比赛'!M16*9</f>
        <v>17.1</v>
      </c>
      <c r="N16" s="16">
        <f>'C５级比赛'!N16*9</f>
        <v>15.7846153846154</v>
      </c>
      <c r="O16" s="38">
        <f>'C５级比赛'!O16*9</f>
        <v>748.323446553446</v>
      </c>
      <c r="P16" s="15">
        <f>'C５级比赛'!P16*9</f>
        <v>28.7816710212864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3"/>
      <c r="AR16" s="23"/>
      <c r="AS16" s="23"/>
      <c r="AT16" s="23"/>
      <c r="AU16" s="23"/>
      <c r="AV16" s="23"/>
      <c r="AW16" s="23"/>
      <c r="AX16" s="23"/>
    </row>
    <row r="17" spans="1:50">
      <c r="A17" s="20" t="s">
        <v>55</v>
      </c>
      <c r="B17" s="18">
        <f>'C５级比赛'!B17*9</f>
        <v>219.6</v>
      </c>
      <c r="C17" s="18">
        <f>'C５级比赛'!C17*9</f>
        <v>153.72</v>
      </c>
      <c r="D17" s="16">
        <f>'C５级比赛'!D17*9</f>
        <v>109.8</v>
      </c>
      <c r="E17" s="16">
        <f>'C５级比赛'!E17*9</f>
        <v>76.86</v>
      </c>
      <c r="F17" s="16">
        <f>'C５级比赛'!F17*9</f>
        <v>43.92</v>
      </c>
      <c r="G17" s="16">
        <f>'C５级比赛'!G17*9</f>
        <v>36.6</v>
      </c>
      <c r="H17" s="16">
        <f>'C５级比赛'!H17*9</f>
        <v>31.3714285714286</v>
      </c>
      <c r="I17" s="16">
        <f>'C５级比赛'!I17*9</f>
        <v>27.45</v>
      </c>
      <c r="J17" s="16">
        <f>'C５级比赛'!J17*9</f>
        <v>24.4</v>
      </c>
      <c r="K17" s="16">
        <f>'C５级比赛'!K17*9</f>
        <v>21.96</v>
      </c>
      <c r="L17" s="16">
        <f>'C５级比赛'!L17*9</f>
        <v>19.9636363636364</v>
      </c>
      <c r="M17" s="16">
        <f>'C５级比赛'!M17*9</f>
        <v>18.3</v>
      </c>
      <c r="N17" s="16">
        <f>'C５级比赛'!N17*9</f>
        <v>16.8923076923077</v>
      </c>
      <c r="O17" s="16">
        <f>'C５级比赛'!O17*9</f>
        <v>15.6857142857143</v>
      </c>
      <c r="P17" s="38">
        <f>'C５级比赛'!P17*9</f>
        <v>816.523086913087</v>
      </c>
      <c r="Q17" s="15">
        <f>'C５级比赛'!Q17*9</f>
        <v>29.1615388183245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3"/>
      <c r="AR17" s="23"/>
      <c r="AS17" s="23"/>
      <c r="AT17" s="23"/>
      <c r="AU17" s="23"/>
      <c r="AV17" s="23"/>
      <c r="AW17" s="23"/>
      <c r="AX17" s="23"/>
    </row>
    <row r="18" spans="1:50">
      <c r="A18" s="20" t="s">
        <v>56</v>
      </c>
      <c r="B18" s="18">
        <f>'C５级比赛'!B18*9</f>
        <v>234</v>
      </c>
      <c r="C18" s="18">
        <f>'C５级比赛'!C18*9</f>
        <v>163.8</v>
      </c>
      <c r="D18" s="16">
        <f>'C５级比赛'!D18*9</f>
        <v>117</v>
      </c>
      <c r="E18" s="16">
        <f>'C５级比赛'!E18*9</f>
        <v>81.9</v>
      </c>
      <c r="F18" s="16">
        <f>'C５级比赛'!F18*9</f>
        <v>46.8</v>
      </c>
      <c r="G18" s="16">
        <f>'C５级比赛'!G18*9</f>
        <v>39</v>
      </c>
      <c r="H18" s="16">
        <f>'C５级比赛'!H18*9</f>
        <v>33.4285714285714</v>
      </c>
      <c r="I18" s="16">
        <f>'C５级比赛'!I18*9</f>
        <v>29.25</v>
      </c>
      <c r="J18" s="16">
        <f>'C５级比赛'!J18*9</f>
        <v>26</v>
      </c>
      <c r="K18" s="16">
        <f>'C５级比赛'!K18*9</f>
        <v>23.4</v>
      </c>
      <c r="L18" s="16">
        <f>'C５级比赛'!L18*9</f>
        <v>21.2727272727273</v>
      </c>
      <c r="M18" s="16">
        <f>'C５级比赛'!M18*9</f>
        <v>19.5</v>
      </c>
      <c r="N18" s="16">
        <f>'C５级比赛'!N18*9</f>
        <v>18</v>
      </c>
      <c r="O18" s="16">
        <f>'C５级比赛'!O18*9</f>
        <v>16.7142857142857</v>
      </c>
      <c r="P18" s="16">
        <f>'C５级比赛'!P18*9</f>
        <v>15.6</v>
      </c>
      <c r="Q18" s="38">
        <f>'C５级比赛'!Q18*9</f>
        <v>885.665584415584</v>
      </c>
      <c r="R18" s="15">
        <f>'C５级比赛'!R18*9</f>
        <v>29.5221861471861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3"/>
      <c r="AR18" s="23"/>
      <c r="AS18" s="23"/>
      <c r="AT18" s="23"/>
      <c r="AU18" s="23"/>
      <c r="AV18" s="23"/>
      <c r="AW18" s="23"/>
      <c r="AX18" s="23"/>
    </row>
    <row r="19" spans="1:64">
      <c r="A19" s="20" t="s">
        <v>57</v>
      </c>
      <c r="B19" s="18">
        <f>'C５级比赛'!B19*9</f>
        <v>265.5</v>
      </c>
      <c r="C19" s="18">
        <f>'C５级比赛'!C19*9</f>
        <v>185.85</v>
      </c>
      <c r="D19" s="16">
        <f>'C５级比赛'!D19*9</f>
        <v>132.75</v>
      </c>
      <c r="E19" s="16">
        <f>'C５级比赛'!E19*9</f>
        <v>92.925</v>
      </c>
      <c r="F19" s="16">
        <f>'C５级比赛'!F19*9</f>
        <v>53.1</v>
      </c>
      <c r="G19" s="16">
        <f>'C５级比赛'!G19*9</f>
        <v>44.25</v>
      </c>
      <c r="H19" s="16">
        <f>'C５级比赛'!H19*9</f>
        <v>37.9285714285714</v>
      </c>
      <c r="I19" s="16">
        <f>'C５级比赛'!I19*9</f>
        <v>33.1875</v>
      </c>
      <c r="J19" s="16">
        <f>'C５级比赛'!J19*9</f>
        <v>29.5</v>
      </c>
      <c r="K19" s="16">
        <f>'C５级比赛'!K19*9</f>
        <v>26.55</v>
      </c>
      <c r="L19" s="16">
        <f>'C５级比赛'!L19*9</f>
        <v>24.1363636363636</v>
      </c>
      <c r="M19" s="16">
        <f>'C５级比赛'!M19*9</f>
        <v>22.125</v>
      </c>
      <c r="N19" s="16">
        <f>'C５级比赛'!N19*9</f>
        <v>20.4230769230769</v>
      </c>
      <c r="O19" s="16">
        <f>'C５级比赛'!O19*9</f>
        <v>18.9642857142857</v>
      </c>
      <c r="P19" s="16">
        <f>'C５级比赛'!P19*9</f>
        <v>17.7</v>
      </c>
      <c r="Q19" s="16">
        <f>'C５级比赛'!Q19*9</f>
        <v>16.59375</v>
      </c>
      <c r="R19" s="38">
        <f>'C５级比赛'!R19*9</f>
        <v>1038.0772977023</v>
      </c>
      <c r="S19" s="15">
        <f>'C５级比赛'!S19*9</f>
        <v>29.6593513629228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3"/>
      <c r="AR19" s="23"/>
      <c r="AS19" s="23"/>
      <c r="AT19" s="23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>
      <c r="A20" s="20" t="s">
        <v>58</v>
      </c>
      <c r="B20" s="18">
        <f>'C５级比赛'!B20*9</f>
        <v>301.5</v>
      </c>
      <c r="C20" s="18">
        <f>'C５级比赛'!C20*9</f>
        <v>211.05</v>
      </c>
      <c r="D20" s="16">
        <f>'C５级比赛'!D20*9</f>
        <v>150.75</v>
      </c>
      <c r="E20" s="16">
        <f>'C５级比赛'!E20*9</f>
        <v>105.525</v>
      </c>
      <c r="F20" s="16">
        <f>'C５级比赛'!F20*9</f>
        <v>60.3</v>
      </c>
      <c r="G20" s="16">
        <f>'C５级比赛'!G20*9</f>
        <v>50.25</v>
      </c>
      <c r="H20" s="16">
        <f>'C５级比赛'!H20*9</f>
        <v>43.0714285714286</v>
      </c>
      <c r="I20" s="16">
        <f>'C５级比赛'!I20*9</f>
        <v>37.6875</v>
      </c>
      <c r="J20" s="16">
        <f>'C５级比赛'!J20*9</f>
        <v>33.5</v>
      </c>
      <c r="K20" s="16">
        <f>'C５级比赛'!K20*9</f>
        <v>30.15</v>
      </c>
      <c r="L20" s="16">
        <f>'C５级比赛'!L20*9</f>
        <v>27.4090909090909</v>
      </c>
      <c r="M20" s="16">
        <f>'C５级比赛'!M20*9</f>
        <v>25.125</v>
      </c>
      <c r="N20" s="16">
        <f>'C５级比赛'!N20*9</f>
        <v>23.1923076923077</v>
      </c>
      <c r="O20" s="16">
        <f>'C５级比赛'!O20*9</f>
        <v>21.5357142857143</v>
      </c>
      <c r="P20" s="16">
        <f>'C５级比赛'!P20*9</f>
        <v>20.1</v>
      </c>
      <c r="Q20" s="16">
        <f>'C５级比赛'!Q20*9</f>
        <v>18.84375</v>
      </c>
      <c r="R20" s="16">
        <f>'C５级比赛'!R20*9</f>
        <v>16.75</v>
      </c>
      <c r="S20" s="38">
        <f>'C５级比赛'!S20*9</f>
        <v>1229.08354145854</v>
      </c>
      <c r="T20" s="15">
        <f>'C５级比赛'!T20*9</f>
        <v>29.9776473526473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3"/>
      <c r="AR20" s="23"/>
      <c r="AS20" s="23"/>
      <c r="AT20" s="23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>
      <c r="A21" s="20" t="s">
        <v>59</v>
      </c>
      <c r="B21" s="18">
        <f>'C５级比赛'!B21*9</f>
        <v>353.7</v>
      </c>
      <c r="C21" s="18">
        <f>'C５级比赛'!C21*9</f>
        <v>248.4</v>
      </c>
      <c r="D21" s="16">
        <f>'C５级比赛'!D21*9</f>
        <v>176.85</v>
      </c>
      <c r="E21" s="16">
        <f>'C５级比赛'!E21*9</f>
        <v>123.795</v>
      </c>
      <c r="F21" s="16">
        <f>'C５级比赛'!F21*9</f>
        <v>70.74</v>
      </c>
      <c r="G21" s="16">
        <f>'C５级比赛'!G21*9</f>
        <v>58.95</v>
      </c>
      <c r="H21" s="16">
        <f>'C５级比赛'!H21*9</f>
        <v>50.5285714285714</v>
      </c>
      <c r="I21" s="16">
        <f>'C５级比赛'!I21*9</f>
        <v>44.2125</v>
      </c>
      <c r="J21" s="16">
        <f>'C５级比赛'!J21*9</f>
        <v>39.3</v>
      </c>
      <c r="K21" s="16">
        <f>'C５级比赛'!K21*9</f>
        <v>35.37</v>
      </c>
      <c r="L21" s="16">
        <f>'C５级比赛'!L21*9</f>
        <v>32.1545454545454</v>
      </c>
      <c r="M21" s="16">
        <f>'C５级比赛'!M21*9</f>
        <v>29.475</v>
      </c>
      <c r="N21" s="16">
        <f>'C５级比赛'!N21*9</f>
        <v>27.2076923076923</v>
      </c>
      <c r="O21" s="16">
        <f>'C５级比赛'!O21*9</f>
        <v>25.2642857142857</v>
      </c>
      <c r="P21" s="16">
        <f>'C５级比赛'!P21*9</f>
        <v>23.58</v>
      </c>
      <c r="Q21" s="16">
        <f>'C５级比赛'!Q21*9</f>
        <v>22.10625</v>
      </c>
      <c r="R21" s="16">
        <f>'C５级比赛'!R21*9</f>
        <v>19.65</v>
      </c>
      <c r="S21" s="16">
        <f>'C５级比赛'!S21*9</f>
        <v>17.685</v>
      </c>
      <c r="T21" s="38">
        <f>'C５级比赛'!T21*9</f>
        <v>1531.11509490509</v>
      </c>
      <c r="U21" s="15">
        <f>'C５级比赛'!U21*9</f>
        <v>30.0218646059823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3"/>
      <c r="AR21" s="23"/>
      <c r="AS21" s="23"/>
      <c r="AT21" s="23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>
      <c r="A22" s="17" t="s">
        <v>60</v>
      </c>
      <c r="B22" s="18">
        <f>'C５级比赛'!B22*9</f>
        <v>406.8</v>
      </c>
      <c r="C22" s="18">
        <f>'C５级比赛'!C22*9</f>
        <v>284.76</v>
      </c>
      <c r="D22" s="16">
        <f>'C５级比赛'!D22*9</f>
        <v>203.4</v>
      </c>
      <c r="E22" s="16">
        <f>'C５级比赛'!E22*9</f>
        <v>142.38</v>
      </c>
      <c r="F22" s="16">
        <f>'C５级比赛'!F22*9</f>
        <v>81.36</v>
      </c>
      <c r="G22" s="16">
        <f>'C５级比赛'!G22*9</f>
        <v>67.8</v>
      </c>
      <c r="H22" s="16">
        <f>'C５级比赛'!H22*9</f>
        <v>58.1142857142857</v>
      </c>
      <c r="I22" s="16">
        <f>'C５级比赛'!I22*9</f>
        <v>50.85</v>
      </c>
      <c r="J22" s="16">
        <f>'C５级比赛'!J22*9</f>
        <v>45.2</v>
      </c>
      <c r="K22" s="16">
        <f>'C５级比赛'!K22*9</f>
        <v>40.68</v>
      </c>
      <c r="L22" s="16">
        <f>'C５级比赛'!L22*9</f>
        <v>36.9818181818182</v>
      </c>
      <c r="M22" s="16">
        <f>'C５级比赛'!M22*9</f>
        <v>33.9</v>
      </c>
      <c r="N22" s="16">
        <f>'C５级比赛'!N22*9</f>
        <v>31.2923076923077</v>
      </c>
      <c r="O22" s="16">
        <f>'C５级比赛'!O22*9</f>
        <v>29.0571428571429</v>
      </c>
      <c r="P22" s="16">
        <f>'C５级比赛'!P22*9</f>
        <v>27.12</v>
      </c>
      <c r="Q22" s="16">
        <f>'C５级比赛'!Q22*9</f>
        <v>25.425</v>
      </c>
      <c r="R22" s="16">
        <f>'C５级比赛'!R22*9</f>
        <v>22.6</v>
      </c>
      <c r="S22" s="16">
        <f>'C５级比赛'!S22*9</f>
        <v>20.34</v>
      </c>
      <c r="T22" s="16">
        <f>'C５级比赛'!T22*9</f>
        <v>15.6461538461538</v>
      </c>
      <c r="U22" s="38">
        <f>'C５级比赛'!U22*9</f>
        <v>1838.27632367632</v>
      </c>
      <c r="V22" s="15">
        <f>'C５级比赛'!V22*9</f>
        <v>30.1356774373168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3"/>
      <c r="AR22" s="23"/>
      <c r="AS22" s="23"/>
      <c r="AT22" s="23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>
      <c r="A23" s="17" t="s">
        <v>61</v>
      </c>
      <c r="B23" s="18">
        <f>'C５级比赛'!B23*9</f>
        <v>504</v>
      </c>
      <c r="C23" s="18">
        <f>'C５级比赛'!C23*9</f>
        <v>352.8</v>
      </c>
      <c r="D23" s="16">
        <f>'C５级比赛'!D23*9</f>
        <v>252</v>
      </c>
      <c r="E23" s="16">
        <f>'C５级比赛'!E23*9</f>
        <v>176.4</v>
      </c>
      <c r="F23" s="16">
        <f>'C５级比赛'!F23*9</f>
        <v>100.8</v>
      </c>
      <c r="G23" s="16">
        <f>'C５级比赛'!G23*9</f>
        <v>84</v>
      </c>
      <c r="H23" s="16">
        <f>'C５级比赛'!H23*9</f>
        <v>72</v>
      </c>
      <c r="I23" s="16">
        <f>'C５级比赛'!I23*9</f>
        <v>63</v>
      </c>
      <c r="J23" s="16">
        <f>'C５级比赛'!J23*9</f>
        <v>56</v>
      </c>
      <c r="K23" s="16">
        <f>'C５级比赛'!K23*9</f>
        <v>50.4</v>
      </c>
      <c r="L23" s="16">
        <f>'C５级比赛'!L23*9</f>
        <v>45.8181818181818</v>
      </c>
      <c r="M23" s="16">
        <f>'C５级比赛'!M23*9</f>
        <v>42</v>
      </c>
      <c r="N23" s="16">
        <f>'C５级比赛'!N23*9</f>
        <v>38.7692307692308</v>
      </c>
      <c r="O23" s="16">
        <f>'C５级比赛'!O23*9</f>
        <v>36</v>
      </c>
      <c r="P23" s="16">
        <f>'C５级比赛'!P23*9</f>
        <v>33.6</v>
      </c>
      <c r="Q23" s="16">
        <f>'C５级比赛'!Q23*9</f>
        <v>31.5</v>
      </c>
      <c r="R23" s="16">
        <f>'C５级比赛'!R23*9</f>
        <v>28</v>
      </c>
      <c r="S23" s="16">
        <f>'C５级比赛'!S23*9</f>
        <v>25.2</v>
      </c>
      <c r="T23" s="16">
        <f>'C５级比赛'!T23*9</f>
        <v>19.3846153846154</v>
      </c>
      <c r="U23" s="16">
        <f>'C５级比赛'!U23*9</f>
        <v>16.8</v>
      </c>
      <c r="V23" s="38">
        <f>'C５级比赛'!V23*9</f>
        <v>2445.51048951049</v>
      </c>
      <c r="W23" s="15">
        <f>'C５级比赛'!W23*9</f>
        <v>30.1914875248209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3"/>
      <c r="AR23" s="23"/>
      <c r="AS23" s="23"/>
      <c r="AT23" s="23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="37" customFormat="1" spans="1:64">
      <c r="A24" s="19" t="s">
        <v>62</v>
      </c>
      <c r="B24" s="13">
        <f>'C５级比赛'!B24*9</f>
        <v>621</v>
      </c>
      <c r="C24" s="13">
        <f>'C５级比赛'!C24*9</f>
        <v>434.7</v>
      </c>
      <c r="D24" s="13">
        <f>'C５级比赛'!D24*9</f>
        <v>310.5</v>
      </c>
      <c r="E24" s="13">
        <f>'C５级比赛'!E24*9</f>
        <v>217.35</v>
      </c>
      <c r="F24" s="13">
        <f>'C５级比赛'!F24*9</f>
        <v>124.2</v>
      </c>
      <c r="G24" s="13">
        <f>'C５级比赛'!G24*9</f>
        <v>103.5</v>
      </c>
      <c r="H24" s="13">
        <f>'C５级比赛'!H24*9</f>
        <v>88.7142857142857</v>
      </c>
      <c r="I24" s="13">
        <f>'C５级比赛'!I24*9</f>
        <v>77.625</v>
      </c>
      <c r="J24" s="13">
        <f>'C５级比赛'!J24*9</f>
        <v>69</v>
      </c>
      <c r="K24" s="13">
        <f>'C５级比赛'!K24*9</f>
        <v>62.1</v>
      </c>
      <c r="L24" s="13">
        <f>'C５级比赛'!L24*9</f>
        <v>56.4545454545455</v>
      </c>
      <c r="M24" s="13">
        <f>'C５级比赛'!M24*9</f>
        <v>51.75</v>
      </c>
      <c r="N24" s="13">
        <f>'C５级比赛'!N24*9</f>
        <v>47.7692307692308</v>
      </c>
      <c r="O24" s="13">
        <f>'C５级比赛'!O24*9</f>
        <v>44.3571428571429</v>
      </c>
      <c r="P24" s="13">
        <f>'C５级比赛'!P24*9</f>
        <v>41.4</v>
      </c>
      <c r="Q24" s="13">
        <f>'C５级比赛'!Q24*9</f>
        <v>38.8125</v>
      </c>
      <c r="R24" s="13">
        <f>'C５级比赛'!R24*9</f>
        <v>34.5</v>
      </c>
      <c r="S24" s="13">
        <f>'C５级比赛'!S24*9</f>
        <v>31.05</v>
      </c>
      <c r="T24" s="13">
        <f>'C５级比赛'!T24*9</f>
        <v>23.8846153846154</v>
      </c>
      <c r="U24" s="13">
        <f>'C５级比赛'!U24*9</f>
        <v>20.7</v>
      </c>
      <c r="V24" s="13">
        <f>'C５级比赛'!V24*9</f>
        <v>15.1463414634146</v>
      </c>
      <c r="W24" s="38">
        <f>'C５级比赛'!W24*9</f>
        <v>3164.68169635243</v>
      </c>
      <c r="X24" s="15">
        <f>'C５级比赛'!X24*9</f>
        <v>31.3334821421033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31"/>
      <c r="AR24" s="31"/>
      <c r="AS24" s="31"/>
      <c r="AT24" s="31"/>
      <c r="AU24" s="31"/>
      <c r="AV24" s="31"/>
      <c r="AW24" s="31"/>
      <c r="AX24" s="31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>
      <c r="A25" s="22" t="s">
        <v>63</v>
      </c>
      <c r="B25" s="16">
        <f>'C５级比赛'!B25*9</f>
        <v>716.4</v>
      </c>
      <c r="C25" s="16">
        <f>'C５级比赛'!C25*9</f>
        <v>501.48</v>
      </c>
      <c r="D25" s="16">
        <f>'C５级比赛'!D25*9</f>
        <v>358.2</v>
      </c>
      <c r="E25" s="16">
        <f>'C５级比赛'!E25*9</f>
        <v>250.74</v>
      </c>
      <c r="F25" s="16">
        <f>'C５级比赛'!F25*9</f>
        <v>143.28</v>
      </c>
      <c r="G25" s="16">
        <f>'C５级比赛'!G25*9</f>
        <v>119.4</v>
      </c>
      <c r="H25" s="16">
        <f>'C５级比赛'!H25*9</f>
        <v>102.342857142857</v>
      </c>
      <c r="I25" s="16">
        <f>'C５级比赛'!I25*9</f>
        <v>89.55</v>
      </c>
      <c r="J25" s="16">
        <f>'C５级比赛'!J25*9</f>
        <v>79.6</v>
      </c>
      <c r="K25" s="16">
        <f>'C５级比赛'!K25*9</f>
        <v>71.64</v>
      </c>
      <c r="L25" s="16">
        <f>'C５级比赛'!L25*9</f>
        <v>65.1272727272727</v>
      </c>
      <c r="M25" s="16">
        <f>'C５级比赛'!M25*9</f>
        <v>59.7</v>
      </c>
      <c r="N25" s="16">
        <f>'C５级比赛'!N25*9</f>
        <v>55.1076923076923</v>
      </c>
      <c r="O25" s="16">
        <f>'C５级比赛'!O25*9</f>
        <v>51.1714285714286</v>
      </c>
      <c r="P25" s="16">
        <f>'C５级比赛'!P25*9</f>
        <v>47.76</v>
      </c>
      <c r="Q25" s="16">
        <f>'C５级比赛'!Q25*9</f>
        <v>44.775</v>
      </c>
      <c r="R25" s="16">
        <f>'C５级比赛'!R25*9</f>
        <v>39.8</v>
      </c>
      <c r="S25" s="16">
        <f>'C５级比赛'!S25*9</f>
        <v>35.82</v>
      </c>
      <c r="T25" s="16">
        <f>'C５级比赛'!T25*9</f>
        <v>27.5538461538462</v>
      </c>
      <c r="U25" s="16">
        <f>'C５级比赛'!U25*9</f>
        <v>23.88</v>
      </c>
      <c r="V25" s="16">
        <f>'C５级比赛'!V25*9</f>
        <v>17.4731707317073</v>
      </c>
      <c r="W25" s="16">
        <f>'C５级比赛'!W25*9</f>
        <v>14.0470588235294</v>
      </c>
      <c r="X25" s="38">
        <f>'C５级比赛'!X25*9</f>
        <v>3791.32077707085</v>
      </c>
      <c r="Y25" s="15">
        <f>'C５级比赛'!Y25*9</f>
        <v>31.333229562569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3"/>
      <c r="AR25" s="23"/>
      <c r="AS25" s="23"/>
      <c r="AT25" s="23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>
      <c r="A26" s="22" t="s">
        <v>64</v>
      </c>
      <c r="B26" s="16">
        <f>'C５级比赛'!B26*9</f>
        <v>810</v>
      </c>
      <c r="C26" s="16">
        <f>'C５级比赛'!C26*9</f>
        <v>567</v>
      </c>
      <c r="D26" s="16">
        <f>'C５级比赛'!D26*9</f>
        <v>405</v>
      </c>
      <c r="E26" s="16">
        <f>'C５级比赛'!E26*9</f>
        <v>283.5</v>
      </c>
      <c r="F26" s="16">
        <f>'C５级比赛'!F26*9</f>
        <v>162</v>
      </c>
      <c r="G26" s="16">
        <f>'C５级比赛'!G26*9</f>
        <v>135</v>
      </c>
      <c r="H26" s="16">
        <f>'C５级比赛'!H26*9</f>
        <v>115.714285714286</v>
      </c>
      <c r="I26" s="16">
        <f>'C５级比赛'!I26*9</f>
        <v>101.25</v>
      </c>
      <c r="J26" s="16">
        <f>'C５级比赛'!J26*9</f>
        <v>90</v>
      </c>
      <c r="K26" s="16">
        <f>'C５级比赛'!K26*9</f>
        <v>81</v>
      </c>
      <c r="L26" s="16">
        <f>'C５级比赛'!L26*9</f>
        <v>73.6363636363636</v>
      </c>
      <c r="M26" s="16">
        <f>'C５级比赛'!M26*9</f>
        <v>67.5</v>
      </c>
      <c r="N26" s="16">
        <f>'C５级比赛'!N26*9</f>
        <v>62.3076923076923</v>
      </c>
      <c r="O26" s="16">
        <f>'C５级比赛'!O26*9</f>
        <v>57.8571428571429</v>
      </c>
      <c r="P26" s="16">
        <f>'C５级比赛'!P26*9</f>
        <v>54</v>
      </c>
      <c r="Q26" s="16">
        <f>'C５级比赛'!Q26*9</f>
        <v>50.625</v>
      </c>
      <c r="R26" s="16">
        <f>'C５级比赛'!R26*9</f>
        <v>45</v>
      </c>
      <c r="S26" s="16">
        <f>'C５级比赛'!S26*9</f>
        <v>40.5</v>
      </c>
      <c r="T26" s="16">
        <f>'C５级比赛'!T26*9</f>
        <v>31.1538461538462</v>
      </c>
      <c r="U26" s="16">
        <f>'C５级比赛'!U26*9</f>
        <v>27</v>
      </c>
      <c r="V26" s="16">
        <f>'C５级比赛'!V26*9</f>
        <v>19.7560975609756</v>
      </c>
      <c r="W26" s="16">
        <f>'C５级比赛'!W26*9</f>
        <v>15.8823529411765</v>
      </c>
      <c r="X26" s="16">
        <f>'C５级比赛'!X26*9</f>
        <v>13.2786885245902</v>
      </c>
      <c r="Y26" s="38">
        <f>'C５级比赛'!Y26*9</f>
        <v>4419.45610555214</v>
      </c>
      <c r="Z26" s="15">
        <f>'C５级比赛'!Z26*9</f>
        <v>31.3436603230648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3"/>
      <c r="AR26" s="23"/>
      <c r="AS26" s="23"/>
      <c r="AT26" s="23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>
      <c r="A27" s="22" t="s">
        <v>65</v>
      </c>
      <c r="B27" s="16">
        <f>'C５级比赛'!B27*9</f>
        <v>901.8</v>
      </c>
      <c r="C27" s="16">
        <f>'C５级比赛'!C27*9</f>
        <v>631.26</v>
      </c>
      <c r="D27" s="16">
        <f>'C５级比赛'!D27*9</f>
        <v>450.9</v>
      </c>
      <c r="E27" s="16">
        <f>'C５级比赛'!E27*9</f>
        <v>315.63</v>
      </c>
      <c r="F27" s="16">
        <f>'C５级比赛'!F27*9</f>
        <v>180.36</v>
      </c>
      <c r="G27" s="16">
        <f>'C５级比赛'!G27*9</f>
        <v>150.3</v>
      </c>
      <c r="H27" s="16">
        <f>'C５级比赛'!H27*9</f>
        <v>128.828571428571</v>
      </c>
      <c r="I27" s="16">
        <f>'C５级比赛'!I27*9</f>
        <v>112.725</v>
      </c>
      <c r="J27" s="16">
        <f>'C５级比赛'!J27*9</f>
        <v>100.2</v>
      </c>
      <c r="K27" s="16">
        <f>'C５级比赛'!K27*9</f>
        <v>90.18</v>
      </c>
      <c r="L27" s="16">
        <f>'C５级比赛'!L27*9</f>
        <v>81.9818181818182</v>
      </c>
      <c r="M27" s="16">
        <f>'C５级比赛'!M27*9</f>
        <v>75.15</v>
      </c>
      <c r="N27" s="16">
        <f>'C５级比赛'!N27*9</f>
        <v>69.3692307692308</v>
      </c>
      <c r="O27" s="16">
        <f>'C５级比赛'!O27*9</f>
        <v>64.4142857142857</v>
      </c>
      <c r="P27" s="16">
        <f>'C５级比赛'!P27*9</f>
        <v>60.12</v>
      </c>
      <c r="Q27" s="16">
        <f>'C５级比赛'!Q27*9</f>
        <v>56.3625</v>
      </c>
      <c r="R27" s="16">
        <f>'C５级比赛'!R27*9</f>
        <v>50.1</v>
      </c>
      <c r="S27" s="16">
        <f>'C５级比赛'!S27*9</f>
        <v>45.09</v>
      </c>
      <c r="T27" s="16">
        <f>'C５级比赛'!T27*9</f>
        <v>34.6846153846154</v>
      </c>
      <c r="U27" s="16">
        <f>'C５级比赛'!U27*9</f>
        <v>30.06</v>
      </c>
      <c r="V27" s="16">
        <f>'C５级比赛'!V27*9</f>
        <v>21.9951219512195</v>
      </c>
      <c r="W27" s="16">
        <f>'C５级比赛'!W27*9</f>
        <v>17.6823529411765</v>
      </c>
      <c r="X27" s="16">
        <f>'C５级比赛'!X27*9</f>
        <v>14.783606557377</v>
      </c>
      <c r="Y27" s="16">
        <f>'C５级比赛'!Y27*9</f>
        <v>12.7014084507042</v>
      </c>
      <c r="Z27" s="38">
        <f>'C５级比赛'!Z27*9</f>
        <v>5047.34188202176</v>
      </c>
      <c r="AA27" s="15">
        <f>'C５级比赛'!AA27*9</f>
        <v>31.3499495777749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3"/>
      <c r="AR27" s="23"/>
      <c r="AS27" s="23"/>
      <c r="AT27" s="23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>
      <c r="A28" s="22" t="s">
        <v>66</v>
      </c>
      <c r="B28" s="16">
        <f>'C５级比赛'!B28*9</f>
        <v>991.8</v>
      </c>
      <c r="C28" s="16">
        <f>'C５级比赛'!C28*9</f>
        <v>694.26</v>
      </c>
      <c r="D28" s="16">
        <f>'C５级比赛'!D28*9</f>
        <v>495.9</v>
      </c>
      <c r="E28" s="16">
        <f>'C５级比赛'!E28*9</f>
        <v>347.13</v>
      </c>
      <c r="F28" s="16">
        <f>'C５级比赛'!F28*9</f>
        <v>198.36</v>
      </c>
      <c r="G28" s="16">
        <f>'C５级比赛'!G28*9</f>
        <v>165.3</v>
      </c>
      <c r="H28" s="16">
        <f>'C５级比赛'!H28*9</f>
        <v>141.685714285714</v>
      </c>
      <c r="I28" s="16">
        <f>'C５级比赛'!I28*9</f>
        <v>123.975</v>
      </c>
      <c r="J28" s="16">
        <f>'C５级比赛'!J28*9</f>
        <v>110.2</v>
      </c>
      <c r="K28" s="16">
        <f>'C５级比赛'!K28*9</f>
        <v>99.18</v>
      </c>
      <c r="L28" s="16">
        <f>'C５级比赛'!L28*9</f>
        <v>90.1636363636364</v>
      </c>
      <c r="M28" s="16">
        <f>'C５级比赛'!M28*9</f>
        <v>82.65</v>
      </c>
      <c r="N28" s="16">
        <f>'C５级比赛'!N28*9</f>
        <v>76.2923076923077</v>
      </c>
      <c r="O28" s="16">
        <f>'C５级比赛'!O28*9</f>
        <v>70.8428571428571</v>
      </c>
      <c r="P28" s="16">
        <f>'C５级比赛'!P28*9</f>
        <v>66.12</v>
      </c>
      <c r="Q28" s="16">
        <f>'C５级比赛'!Q28*9</f>
        <v>61.9875</v>
      </c>
      <c r="R28" s="16">
        <f>'C５级比赛'!R28*9</f>
        <v>55.1</v>
      </c>
      <c r="S28" s="16">
        <f>'C５级比赛'!S28*9</f>
        <v>49.59</v>
      </c>
      <c r="T28" s="16">
        <f>'C５级比赛'!T28*9</f>
        <v>38.1461538461538</v>
      </c>
      <c r="U28" s="16">
        <f>'C５级比赛'!U28*9</f>
        <v>33.06</v>
      </c>
      <c r="V28" s="16">
        <f>'C５级比赛'!V28*9</f>
        <v>24.190243902439</v>
      </c>
      <c r="W28" s="16">
        <f>'C５级比赛'!W28*9</f>
        <v>19.4470588235294</v>
      </c>
      <c r="X28" s="16">
        <f>'C５级比赛'!X28*9</f>
        <v>16.2590163934426</v>
      </c>
      <c r="Y28" s="16">
        <f>'C５级比赛'!Y28*9</f>
        <v>13.969014084507</v>
      </c>
      <c r="Z28" s="16">
        <f>'C５级比赛'!Z28*9</f>
        <v>12.2444444444444</v>
      </c>
      <c r="AA28" s="38">
        <f>'C５级比赛'!AA28*9</f>
        <v>5673.51306119891</v>
      </c>
      <c r="AB28" s="15">
        <f>'C５级比赛'!AB28*9</f>
        <v>31.3453760287233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3"/>
      <c r="AR28" s="23"/>
      <c r="AS28" s="23"/>
      <c r="AT28" s="23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>
      <c r="A29" s="22" t="s">
        <v>67</v>
      </c>
      <c r="B29" s="16">
        <f>'C５级比赛'!B29*9</f>
        <v>1080.9</v>
      </c>
      <c r="C29" s="16">
        <f>'C５级比赛'!C29*9</f>
        <v>756.63</v>
      </c>
      <c r="D29" s="16">
        <f>'C５级比赛'!D29*9</f>
        <v>540.45</v>
      </c>
      <c r="E29" s="16">
        <f>'C５级比赛'!E29*9</f>
        <v>378.315</v>
      </c>
      <c r="F29" s="16">
        <f>'C５级比赛'!F29*9</f>
        <v>216.18</v>
      </c>
      <c r="G29" s="16">
        <f>'C５级比赛'!G29*9</f>
        <v>180.15</v>
      </c>
      <c r="H29" s="16">
        <f>'C５级比赛'!H29*9</f>
        <v>154.414285714286</v>
      </c>
      <c r="I29" s="16">
        <f>'C５级比赛'!I29*9</f>
        <v>135.1125</v>
      </c>
      <c r="J29" s="16">
        <f>'C５级比赛'!J29*9</f>
        <v>120.1</v>
      </c>
      <c r="K29" s="16">
        <f>'C５级比赛'!K29*9</f>
        <v>108.09</v>
      </c>
      <c r="L29" s="16">
        <f>'C５级比赛'!L29*9</f>
        <v>98.2636363636364</v>
      </c>
      <c r="M29" s="16">
        <f>'C５级比赛'!M29*9</f>
        <v>90.075</v>
      </c>
      <c r="N29" s="16">
        <f>'C５级比赛'!N29*9</f>
        <v>83.1461538461538</v>
      </c>
      <c r="O29" s="16">
        <f>'C５级比赛'!O29*9</f>
        <v>77.2071428571428</v>
      </c>
      <c r="P29" s="16">
        <f>'C５级比赛'!P29*9</f>
        <v>72.06</v>
      </c>
      <c r="Q29" s="16">
        <f>'C５级比赛'!Q29*9</f>
        <v>67.55625</v>
      </c>
      <c r="R29" s="16">
        <f>'C５级比赛'!R29*9</f>
        <v>60.05</v>
      </c>
      <c r="S29" s="16">
        <f>'C５级比赛'!S29*9</f>
        <v>54.045</v>
      </c>
      <c r="T29" s="16">
        <f>'C５级比赛'!T29*9</f>
        <v>41.5730769230769</v>
      </c>
      <c r="U29" s="16">
        <f>'C５级比赛'!U29*9</f>
        <v>36.03</v>
      </c>
      <c r="V29" s="16">
        <f>'C５级比赛'!V29*9</f>
        <v>26.3634146341463</v>
      </c>
      <c r="W29" s="16">
        <f>'C５级比赛'!W29*9</f>
        <v>21.1941176470588</v>
      </c>
      <c r="X29" s="16">
        <f>'C５级比赛'!X29*9</f>
        <v>17.7196721311475</v>
      </c>
      <c r="Y29" s="16">
        <f>'C５级比赛'!Y29*9</f>
        <v>15.2239436619718</v>
      </c>
      <c r="Z29" s="16">
        <f>'C５级比赛'!Z29*9</f>
        <v>13.3444444444444</v>
      </c>
      <c r="AA29" s="16">
        <f>'C５级比赛'!AA29*9</f>
        <v>11.878021978022</v>
      </c>
      <c r="AB29" s="38">
        <f>'C５级比赛'!AB29*9</f>
        <v>6301.98274836451</v>
      </c>
      <c r="AC29" s="15">
        <f>'C５级比赛'!AC29*9</f>
        <v>31.3531480018135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3"/>
      <c r="AR29" s="23"/>
      <c r="AS29" s="23"/>
      <c r="AT29" s="23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>
      <c r="A30" s="22" t="s">
        <v>68</v>
      </c>
      <c r="B30" s="16">
        <f>'C５级比赛'!B30*9</f>
        <v>1252.8</v>
      </c>
      <c r="C30" s="16">
        <f>'C５级比赛'!C30*9</f>
        <v>876.96</v>
      </c>
      <c r="D30" s="16">
        <f>'C５级比赛'!D30*9</f>
        <v>626.4</v>
      </c>
      <c r="E30" s="16">
        <f>'C５级比赛'!E30*9</f>
        <v>438.48</v>
      </c>
      <c r="F30" s="16">
        <f>'C５级比赛'!F30*9</f>
        <v>250.56</v>
      </c>
      <c r="G30" s="16">
        <f>'C５级比赛'!G30*9</f>
        <v>208.8</v>
      </c>
      <c r="H30" s="16">
        <f>'C５级比赛'!H30*9</f>
        <v>178.971428571429</v>
      </c>
      <c r="I30" s="16">
        <f>'C５级比赛'!I30*9</f>
        <v>156.6</v>
      </c>
      <c r="J30" s="16">
        <f>'C５级比赛'!J30*9</f>
        <v>139.2</v>
      </c>
      <c r="K30" s="16">
        <f>'C５级比赛'!K30*9</f>
        <v>125.28</v>
      </c>
      <c r="L30" s="16">
        <f>'C５级比赛'!L30*9</f>
        <v>113.890909090909</v>
      </c>
      <c r="M30" s="16">
        <f>'C５级比赛'!M30*9</f>
        <v>104.4</v>
      </c>
      <c r="N30" s="16">
        <f>'C５级比赛'!N30*9</f>
        <v>96.3692307692308</v>
      </c>
      <c r="O30" s="16">
        <f>'C５级比赛'!O30*9</f>
        <v>89.4857142857143</v>
      </c>
      <c r="P30" s="16">
        <f>'C５级比赛'!P30*9</f>
        <v>83.52</v>
      </c>
      <c r="Q30" s="16">
        <f>'C５级比赛'!Q30*9</f>
        <v>78.3</v>
      </c>
      <c r="R30" s="16">
        <f>'C５级比赛'!R30*9</f>
        <v>69.6</v>
      </c>
      <c r="S30" s="16">
        <f>'C５级比赛'!S30*9</f>
        <v>62.64</v>
      </c>
      <c r="T30" s="16">
        <f>'C５级比赛'!T30*9</f>
        <v>48.1846153846154</v>
      </c>
      <c r="U30" s="16">
        <f>'C５级比赛'!U30*9</f>
        <v>41.76</v>
      </c>
      <c r="V30" s="16">
        <f>'C５级比赛'!V30*9</f>
        <v>30.5560975609756</v>
      </c>
      <c r="W30" s="16">
        <f>'C５级比赛'!W30*9</f>
        <v>24.5647058823529</v>
      </c>
      <c r="X30" s="16">
        <f>'C５级比赛'!X30*9</f>
        <v>20.5377049180328</v>
      </c>
      <c r="Y30" s="16">
        <f>'C５级比赛'!Y30*9</f>
        <v>17.6450704225352</v>
      </c>
      <c r="Z30" s="16">
        <f>'C５级比赛'!Z30*9</f>
        <v>15.4666666666667</v>
      </c>
      <c r="AA30" s="16">
        <f>'C５级比赛'!AA30*9</f>
        <v>13.767032967033</v>
      </c>
      <c r="AB30" s="16">
        <f>'C５级比赛'!AB30*9</f>
        <v>12.528</v>
      </c>
      <c r="AC30" s="38">
        <f>'C５级比赛'!AC30*9</f>
        <v>7554.77314381632</v>
      </c>
      <c r="AD30" s="15">
        <f>'C５级比赛'!AD30*9</f>
        <v>31.3476064058768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3"/>
      <c r="AR30" s="23"/>
      <c r="AS30" s="23"/>
      <c r="AT30" s="23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>
      <c r="A31" s="22" t="s">
        <v>69</v>
      </c>
      <c r="B31" s="16">
        <f>'C５级比赛'!B31*9</f>
        <v>1422</v>
      </c>
      <c r="C31" s="16">
        <f>'C５级比赛'!C31*9</f>
        <v>995.4</v>
      </c>
      <c r="D31" s="16">
        <f>'C５级比赛'!D31*9</f>
        <v>711</v>
      </c>
      <c r="E31" s="16">
        <f>'C５级比赛'!E31*9</f>
        <v>497.7</v>
      </c>
      <c r="F31" s="16">
        <f>'C５级比赛'!F31*9</f>
        <v>284.4</v>
      </c>
      <c r="G31" s="16">
        <f>'C５级比赛'!G31*9</f>
        <v>237</v>
      </c>
      <c r="H31" s="16">
        <f>'C５级比赛'!H31*9</f>
        <v>203.142857142857</v>
      </c>
      <c r="I31" s="16">
        <f>'C５级比赛'!I31*9</f>
        <v>177.75</v>
      </c>
      <c r="J31" s="16">
        <f>'C５级比赛'!J31*9</f>
        <v>158</v>
      </c>
      <c r="K31" s="16">
        <f>'C５级比赛'!K31*9</f>
        <v>142.2</v>
      </c>
      <c r="L31" s="16">
        <f>'C５级比赛'!L31*9</f>
        <v>129.272727272727</v>
      </c>
      <c r="M31" s="16">
        <f>'C５级比赛'!M31*9</f>
        <v>118.5</v>
      </c>
      <c r="N31" s="16">
        <f>'C５级比赛'!N31*9</f>
        <v>109.384615384615</v>
      </c>
      <c r="O31" s="16">
        <f>'C５级比赛'!O31*9</f>
        <v>101.571428571429</v>
      </c>
      <c r="P31" s="16">
        <f>'C５级比赛'!P31*9</f>
        <v>94.8</v>
      </c>
      <c r="Q31" s="16">
        <f>'C５级比赛'!Q31*9</f>
        <v>88.875</v>
      </c>
      <c r="R31" s="16">
        <f>'C５级比赛'!R31*9</f>
        <v>79</v>
      </c>
      <c r="S31" s="16">
        <f>'C５级比赛'!S31*9</f>
        <v>71.1</v>
      </c>
      <c r="T31" s="16">
        <f>'C５级比赛'!T31*9</f>
        <v>54.6923076923077</v>
      </c>
      <c r="U31" s="16">
        <f>'C５级比赛'!U31*9</f>
        <v>47.4</v>
      </c>
      <c r="V31" s="16">
        <f>'C５级比赛'!V31*9</f>
        <v>34.6829268292683</v>
      </c>
      <c r="W31" s="16">
        <f>'C５级比赛'!W31*9</f>
        <v>27.8823529411765</v>
      </c>
      <c r="X31" s="16">
        <f>'C５级比赛'!X31*9</f>
        <v>23.3114754098361</v>
      </c>
      <c r="Y31" s="16">
        <f>'C５级比赛'!Y31*9</f>
        <v>20.0281690140845</v>
      </c>
      <c r="Z31" s="16">
        <f>'C５级比赛'!Z31*9</f>
        <v>17.5555555555556</v>
      </c>
      <c r="AA31" s="16">
        <f>'C５级比赛'!AA31*9</f>
        <v>15.6263736263736</v>
      </c>
      <c r="AB31" s="16">
        <f>'C５级比赛'!AB31*9</f>
        <v>14.22</v>
      </c>
      <c r="AC31" s="16">
        <f>'C５级比赛'!AC31*9</f>
        <v>11.7520661157025</v>
      </c>
      <c r="AD31" s="38">
        <f>'C５级比赛'!AD31*9</f>
        <v>8810.14302291016</v>
      </c>
      <c r="AE31" s="15">
        <f>'C５级比赛'!AE31*9</f>
        <v>31.3528221455878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3"/>
      <c r="AR31" s="23"/>
      <c r="AS31" s="23"/>
      <c r="AT31" s="23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>
      <c r="A32" s="22" t="s">
        <v>70</v>
      </c>
      <c r="B32" s="16">
        <f>'C５级比赛'!B32*9</f>
        <v>1588.5</v>
      </c>
      <c r="C32" s="16">
        <f>'C５级比赛'!C32*9</f>
        <v>1111.95</v>
      </c>
      <c r="D32" s="16">
        <f>'C５级比赛'!D32*9</f>
        <v>794.25</v>
      </c>
      <c r="E32" s="16">
        <f>'C５级比赛'!E32*9</f>
        <v>555.975</v>
      </c>
      <c r="F32" s="16">
        <f>'C５级比赛'!F32*9</f>
        <v>317.7</v>
      </c>
      <c r="G32" s="16">
        <f>'C５级比赛'!G32*9</f>
        <v>264.75</v>
      </c>
      <c r="H32" s="16">
        <f>'C５级比赛'!H32*9</f>
        <v>226.928571428571</v>
      </c>
      <c r="I32" s="16">
        <f>'C５级比赛'!I32*9</f>
        <v>198.5625</v>
      </c>
      <c r="J32" s="16">
        <f>'C５级比赛'!J32*9</f>
        <v>176.5</v>
      </c>
      <c r="K32" s="16">
        <f>'C５级比赛'!K32*9</f>
        <v>158.85</v>
      </c>
      <c r="L32" s="16">
        <f>'C５级比赛'!L32*9</f>
        <v>144.409090909091</v>
      </c>
      <c r="M32" s="16">
        <f>'C５级比赛'!M32*9</f>
        <v>132.375</v>
      </c>
      <c r="N32" s="16">
        <f>'C５级比赛'!N32*9</f>
        <v>122.192307692308</v>
      </c>
      <c r="O32" s="16">
        <f>'C５级比赛'!O32*9</f>
        <v>113.464285714286</v>
      </c>
      <c r="P32" s="16">
        <f>'C５级比赛'!P32*9</f>
        <v>105.9</v>
      </c>
      <c r="Q32" s="16">
        <f>'C５级比赛'!Q32*9</f>
        <v>99.28125</v>
      </c>
      <c r="R32" s="16">
        <f>'C５级比赛'!R32*9</f>
        <v>88.25</v>
      </c>
      <c r="S32" s="16">
        <f>'C５级比赛'!S32*9</f>
        <v>79.425</v>
      </c>
      <c r="T32" s="16">
        <f>'C５级比赛'!T32*9</f>
        <v>61.0961538461538</v>
      </c>
      <c r="U32" s="16">
        <f>'C５级比赛'!U32*9</f>
        <v>52.95</v>
      </c>
      <c r="V32" s="16">
        <f>'C５级比赛'!V32*9</f>
        <v>38.7439024390244</v>
      </c>
      <c r="W32" s="16">
        <f>'C５级比赛'!W32*9</f>
        <v>31.1470588235294</v>
      </c>
      <c r="X32" s="16">
        <f>'C５级比赛'!X32*9</f>
        <v>26.0409836065574</v>
      </c>
      <c r="Y32" s="16">
        <f>'C５级比赛'!Y32*9</f>
        <v>22.3732394366197</v>
      </c>
      <c r="Z32" s="16">
        <f>'C５级比赛'!Z32*9</f>
        <v>19.6111111111111</v>
      </c>
      <c r="AA32" s="16">
        <f>'C５级比赛'!AA32*9</f>
        <v>17.456043956044</v>
      </c>
      <c r="AB32" s="16">
        <f>'C５级比赛'!AB32*9</f>
        <v>15.885</v>
      </c>
      <c r="AC32" s="16">
        <f>'C５级比赛'!AC32*9</f>
        <v>13.1280991735537</v>
      </c>
      <c r="AD32" s="16">
        <f>'C５级比赛'!AD32*9</f>
        <v>11.2659574468085</v>
      </c>
      <c r="AE32" s="38">
        <f>'C５级比赛'!AE32*9</f>
        <v>10067.0295511111</v>
      </c>
      <c r="AF32" s="27">
        <f>'C５级比赛'!AF32*9</f>
        <v>31.3614627760471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3"/>
      <c r="AR32" s="23"/>
      <c r="AS32" s="23"/>
      <c r="AT32" s="23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>
      <c r="A33" s="22" t="s">
        <v>71</v>
      </c>
      <c r="B33" s="16">
        <f>'C５级比赛'!B33*9</f>
        <v>1752.3</v>
      </c>
      <c r="C33" s="16">
        <f>'C５级比赛'!C33*9</f>
        <v>1226.61</v>
      </c>
      <c r="D33" s="16">
        <f>'C５级比赛'!D33*9</f>
        <v>876.15</v>
      </c>
      <c r="E33" s="16">
        <f>'C５级比赛'!E33*9</f>
        <v>613.305</v>
      </c>
      <c r="F33" s="16">
        <f>'C５级比赛'!F33*9</f>
        <v>350.46</v>
      </c>
      <c r="G33" s="16">
        <f>'C５级比赛'!G33*9</f>
        <v>292.05</v>
      </c>
      <c r="H33" s="16">
        <f>'C５级比赛'!H33*9</f>
        <v>250.328571428571</v>
      </c>
      <c r="I33" s="16">
        <f>'C５级比赛'!I33*9</f>
        <v>219.0375</v>
      </c>
      <c r="J33" s="16">
        <f>'C５级比赛'!J33*9</f>
        <v>194.7</v>
      </c>
      <c r="K33" s="16">
        <f>'C５级比赛'!K33*9</f>
        <v>175.23</v>
      </c>
      <c r="L33" s="16">
        <f>'C５级比赛'!L33*9</f>
        <v>159.3</v>
      </c>
      <c r="M33" s="16">
        <f>'C５级比赛'!M33*9</f>
        <v>146.025</v>
      </c>
      <c r="N33" s="16">
        <f>'C５级比赛'!N33*9</f>
        <v>134.792307692308</v>
      </c>
      <c r="O33" s="16">
        <f>'C５级比赛'!O33*9</f>
        <v>125.164285714286</v>
      </c>
      <c r="P33" s="16">
        <f>'C５级比赛'!P33*9</f>
        <v>116.82</v>
      </c>
      <c r="Q33" s="16">
        <f>'C５级比赛'!Q33*9</f>
        <v>109.51875</v>
      </c>
      <c r="R33" s="16">
        <f>'C５级比赛'!R33*9</f>
        <v>97.35</v>
      </c>
      <c r="S33" s="16">
        <f>'C５级比赛'!S33*9</f>
        <v>87.615</v>
      </c>
      <c r="T33" s="16">
        <f>'C５级比赛'!T33*9</f>
        <v>67.3961538461538</v>
      </c>
      <c r="U33" s="16">
        <f>'C５级比赛'!U33*9</f>
        <v>58.41</v>
      </c>
      <c r="V33" s="16">
        <f>'C５级比赛'!V33*9</f>
        <v>42.7390243902439</v>
      </c>
      <c r="W33" s="16">
        <f>'C５级比赛'!W33*9</f>
        <v>34.3588235294118</v>
      </c>
      <c r="X33" s="16">
        <f>'C５级比赛'!X33*9</f>
        <v>28.7262295081967</v>
      </c>
      <c r="Y33" s="16">
        <f>'C５级比赛'!Y33*9</f>
        <v>24.6802816901408</v>
      </c>
      <c r="Z33" s="16">
        <f>'C５级比赛'!Z33*9</f>
        <v>21.6333333333333</v>
      </c>
      <c r="AA33" s="16">
        <f>'C５级比赛'!AA33*9</f>
        <v>19.256043956044</v>
      </c>
      <c r="AB33" s="16">
        <f>'C５级比赛'!AB33*9</f>
        <v>17.523</v>
      </c>
      <c r="AC33" s="16">
        <f>'C５级比赛'!AC33*9</f>
        <v>14.4818181818182</v>
      </c>
      <c r="AD33" s="16">
        <f>'C５级比赛'!AD33*9</f>
        <v>12.4276595744681</v>
      </c>
      <c r="AE33" s="16">
        <f>'C５级比赛'!AE33*9</f>
        <v>10.883850931677</v>
      </c>
      <c r="AF33" s="39">
        <f>'C５级比赛'!AF33*9</f>
        <v>11322.7798718989</v>
      </c>
      <c r="AG33" s="27">
        <f>'C５级比赛'!AG33*9</f>
        <v>31.3650411963959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3"/>
      <c r="AR33" s="23"/>
      <c r="AS33" s="23"/>
      <c r="AT33" s="23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>
      <c r="A34" s="22" t="s">
        <v>72</v>
      </c>
      <c r="B34" s="16">
        <f>'C５级比赛'!B34*9</f>
        <v>1914.3</v>
      </c>
      <c r="C34" s="16">
        <f>'C５级比赛'!C34*9</f>
        <v>1340.01</v>
      </c>
      <c r="D34" s="16">
        <f>'C５级比赛'!D34*9</f>
        <v>957.15</v>
      </c>
      <c r="E34" s="16">
        <f>'C５级比赛'!E34*9</f>
        <v>670.005</v>
      </c>
      <c r="F34" s="16">
        <f>'C５级比赛'!F34*9</f>
        <v>382.86</v>
      </c>
      <c r="G34" s="16">
        <f>'C５级比赛'!G34*9</f>
        <v>319.05</v>
      </c>
      <c r="H34" s="16">
        <f>'C５级比赛'!H34*9</f>
        <v>273.471428571429</v>
      </c>
      <c r="I34" s="16">
        <f>'C５级比赛'!I34*9</f>
        <v>239.2875</v>
      </c>
      <c r="J34" s="16">
        <f>'C５级比赛'!J34*9</f>
        <v>212.7</v>
      </c>
      <c r="K34" s="16">
        <f>'C５级比赛'!K34*9</f>
        <v>191.43</v>
      </c>
      <c r="L34" s="16">
        <f>'C５级比赛'!L34*9</f>
        <v>174.027272727273</v>
      </c>
      <c r="M34" s="16">
        <f>'C５级比赛'!M34*9</f>
        <v>159.525</v>
      </c>
      <c r="N34" s="16">
        <f>'C５级比赛'!N34*9</f>
        <v>147.253846153846</v>
      </c>
      <c r="O34" s="16">
        <f>'C５级比赛'!O34*9</f>
        <v>136.735714285714</v>
      </c>
      <c r="P34" s="16">
        <f>'C５级比赛'!P34*9</f>
        <v>127.62</v>
      </c>
      <c r="Q34" s="16">
        <f>'C５级比赛'!Q34*9</f>
        <v>119.64375</v>
      </c>
      <c r="R34" s="16">
        <f>'C５级比赛'!R34*9</f>
        <v>106.35</v>
      </c>
      <c r="S34" s="16">
        <f>'C５级比赛'!S34*9</f>
        <v>95.715</v>
      </c>
      <c r="T34" s="16">
        <f>'C５级比赛'!T34*9</f>
        <v>73.6269230769231</v>
      </c>
      <c r="U34" s="16">
        <f>'C５级比赛'!U34*9</f>
        <v>63.81</v>
      </c>
      <c r="V34" s="16">
        <f>'C５级比赛'!V34*9</f>
        <v>46.690243902439</v>
      </c>
      <c r="W34" s="16">
        <f>'C５级比赛'!W34*9</f>
        <v>37.5352941176471</v>
      </c>
      <c r="X34" s="16">
        <f>'C５级比赛'!X34*9</f>
        <v>31.3819672131148</v>
      </c>
      <c r="Y34" s="16">
        <f>'C５级比赛'!Y34*9</f>
        <v>26.9619718309859</v>
      </c>
      <c r="Z34" s="16">
        <f>'C５级比赛'!Z34*9</f>
        <v>23.6333333333333</v>
      </c>
      <c r="AA34" s="16">
        <f>'C５级比赛'!AA34*9</f>
        <v>21.0362637362637</v>
      </c>
      <c r="AB34" s="16">
        <f>'C５级比赛'!AB34*9</f>
        <v>19.143</v>
      </c>
      <c r="AC34" s="16">
        <f>'C５级比赛'!AC34*9</f>
        <v>15.8206611570248</v>
      </c>
      <c r="AD34" s="16">
        <f>'C５级比赛'!AD34*9</f>
        <v>13.5765957446809</v>
      </c>
      <c r="AE34" s="16">
        <f>'C５级比赛'!AE34*9</f>
        <v>11.8900621118012</v>
      </c>
      <c r="AF34" s="25">
        <f>'C５级比赛'!AF34*9</f>
        <v>10.5762430939227</v>
      </c>
      <c r="AG34" s="39">
        <f>'C５级比赛'!AG34*9</f>
        <v>12581.0948606093</v>
      </c>
      <c r="AH34" s="27">
        <f>'C５级比赛'!AH34*9</f>
        <v>31.3743013980282</v>
      </c>
      <c r="AI34" s="25"/>
      <c r="AJ34" s="25"/>
      <c r="AK34" s="25"/>
      <c r="AL34" s="25"/>
      <c r="AM34" s="25"/>
      <c r="AN34" s="25"/>
      <c r="AO34" s="25"/>
      <c r="AP34" s="25"/>
      <c r="AQ34" s="23"/>
      <c r="AR34" s="23"/>
      <c r="AS34" s="23"/>
      <c r="AT34" s="23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>
      <c r="A35" s="22" t="s">
        <v>73</v>
      </c>
      <c r="B35" s="16">
        <f>'C５级比赛'!B35*9</f>
        <v>2666.7</v>
      </c>
      <c r="C35" s="16">
        <f>'C５级比赛'!C35*9</f>
        <v>1866.69</v>
      </c>
      <c r="D35" s="16">
        <f>'C５级比赛'!D35*9</f>
        <v>1333.35</v>
      </c>
      <c r="E35" s="16">
        <f>'C５级比赛'!E35*9</f>
        <v>933.345</v>
      </c>
      <c r="F35" s="16">
        <f>'C５级比赛'!F35*9</f>
        <v>533.34</v>
      </c>
      <c r="G35" s="16">
        <f>'C５级比赛'!G35*9</f>
        <v>444.45</v>
      </c>
      <c r="H35" s="16">
        <f>'C５级比赛'!H35*9</f>
        <v>380.957142857143</v>
      </c>
      <c r="I35" s="16">
        <f>'C５级比赛'!I35*9</f>
        <v>333.3375</v>
      </c>
      <c r="J35" s="16">
        <f>'C５级比赛'!J35*9</f>
        <v>296.3</v>
      </c>
      <c r="K35" s="16">
        <f>'C５级比赛'!K35*9</f>
        <v>266.67</v>
      </c>
      <c r="L35" s="16">
        <f>'C５级比赛'!L35*9</f>
        <v>242.427272727273</v>
      </c>
      <c r="M35" s="16">
        <f>'C５级比赛'!M35*9</f>
        <v>222.225</v>
      </c>
      <c r="N35" s="16">
        <f>'C５级比赛'!N35*9</f>
        <v>205.130769230769</v>
      </c>
      <c r="O35" s="16">
        <f>'C５级比赛'!O35*9</f>
        <v>190.478571428571</v>
      </c>
      <c r="P35" s="16">
        <f>'C５级比赛'!P35*9</f>
        <v>177.78</v>
      </c>
      <c r="Q35" s="16">
        <f>'C５级比赛'!Q35*9</f>
        <v>166.66875</v>
      </c>
      <c r="R35" s="16">
        <f>'C５级比赛'!R35*9</f>
        <v>148.15</v>
      </c>
      <c r="S35" s="16">
        <f>'C５级比赛'!S35*9</f>
        <v>133.335</v>
      </c>
      <c r="T35" s="16">
        <f>'C５级比赛'!T35*9</f>
        <v>102.565384615385</v>
      </c>
      <c r="U35" s="16">
        <f>'C５级比赛'!U35*9</f>
        <v>88.89</v>
      </c>
      <c r="V35" s="16">
        <f>'C５级比赛'!V35*9</f>
        <v>65.0414634146342</v>
      </c>
      <c r="W35" s="16">
        <f>'C５级比赛'!W35*9</f>
        <v>52.2882352941176</v>
      </c>
      <c r="X35" s="16">
        <f>'C５级比赛'!X35*9</f>
        <v>43.716393442623</v>
      </c>
      <c r="Y35" s="16">
        <f>'C５级比赛'!Y35*9</f>
        <v>37.5591549295775</v>
      </c>
      <c r="Z35" s="16">
        <f>'C５级比赛'!Z35*9</f>
        <v>32.9222222222222</v>
      </c>
      <c r="AA35" s="16">
        <f>'C５级比赛'!AA35*9</f>
        <v>29.3043956043956</v>
      </c>
      <c r="AB35" s="16">
        <f>'C５级比赛'!AB35*9</f>
        <v>26.667</v>
      </c>
      <c r="AC35" s="16">
        <f>'C５级比赛'!AC35*9</f>
        <v>22.0388429752066</v>
      </c>
      <c r="AD35" s="16">
        <f>'C５级比赛'!AD35*9</f>
        <v>18.9127659574468</v>
      </c>
      <c r="AE35" s="16">
        <f>'C５级比赛'!AE35*9</f>
        <v>16.5633540372671</v>
      </c>
      <c r="AF35" s="25">
        <f>'C５级比赛'!AF35*9</f>
        <v>14.7331491712707</v>
      </c>
      <c r="AG35" s="25">
        <f>'C５级比赛'!AG35*9</f>
        <v>13.2671641791045</v>
      </c>
      <c r="AH35" s="39">
        <f>'C５级比赛'!AH35*9</f>
        <v>18852.7079891307</v>
      </c>
      <c r="AI35" s="27">
        <f>'C５级比赛'!AI35*9</f>
        <v>31.3688984844104</v>
      </c>
      <c r="AJ35" s="25"/>
      <c r="AK35" s="25"/>
      <c r="AL35" s="25"/>
      <c r="AM35" s="25"/>
      <c r="AN35" s="25"/>
      <c r="AO35" s="25"/>
      <c r="AP35" s="25"/>
      <c r="AQ35" s="23"/>
      <c r="AR35" s="23"/>
      <c r="AS35" s="23"/>
      <c r="AT35" s="23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>
      <c r="A36" s="22" t="s">
        <v>74</v>
      </c>
      <c r="B36" s="16">
        <f>'C５级比赛'!B36*9</f>
        <v>3394.8</v>
      </c>
      <c r="C36" s="16">
        <f>'C５级比赛'!C36*9</f>
        <v>2376.36</v>
      </c>
      <c r="D36" s="16">
        <f>'C５级比赛'!D36*9</f>
        <v>1697.4</v>
      </c>
      <c r="E36" s="16">
        <f>'C５级比赛'!E36*9</f>
        <v>1188.18</v>
      </c>
      <c r="F36" s="16">
        <f>'C５级比赛'!F36*9</f>
        <v>678.96</v>
      </c>
      <c r="G36" s="16">
        <f>'C５级比赛'!G36*9</f>
        <v>565.8</v>
      </c>
      <c r="H36" s="16">
        <f>'C５级比赛'!H36*9</f>
        <v>484.971428571429</v>
      </c>
      <c r="I36" s="16">
        <f>'C５级比赛'!I36*9</f>
        <v>424.35</v>
      </c>
      <c r="J36" s="16">
        <f>'C５级比赛'!J36*9</f>
        <v>377.2</v>
      </c>
      <c r="K36" s="16">
        <f>'C５级比赛'!K36*9</f>
        <v>339.48</v>
      </c>
      <c r="L36" s="16">
        <f>'C５级比赛'!L36*9</f>
        <v>308.618181818182</v>
      </c>
      <c r="M36" s="16">
        <f>'C５级比赛'!M36*9</f>
        <v>282.9</v>
      </c>
      <c r="N36" s="16">
        <f>'C５级比赛'!N36*9</f>
        <v>261.138461538462</v>
      </c>
      <c r="O36" s="16">
        <f>'C５级比赛'!O36*9</f>
        <v>242.485714285714</v>
      </c>
      <c r="P36" s="16">
        <f>'C５级比赛'!P36*9</f>
        <v>226.32</v>
      </c>
      <c r="Q36" s="16">
        <f>'C５级比赛'!Q36*9</f>
        <v>212.175</v>
      </c>
      <c r="R36" s="16">
        <f>'C５级比赛'!R36*9</f>
        <v>188.6</v>
      </c>
      <c r="S36" s="16">
        <f>'C５级比赛'!S36*9</f>
        <v>169.74</v>
      </c>
      <c r="T36" s="16">
        <f>'C５级比赛'!T36*9</f>
        <v>130.569230769231</v>
      </c>
      <c r="U36" s="16">
        <f>'C５级比赛'!U36*9</f>
        <v>113.16</v>
      </c>
      <c r="V36" s="16">
        <f>'C５级比赛'!V36*9</f>
        <v>82.8</v>
      </c>
      <c r="W36" s="16">
        <f>'C５级比赛'!W36*9</f>
        <v>66.5647058823529</v>
      </c>
      <c r="X36" s="16">
        <f>'C５级比赛'!X36*9</f>
        <v>55.6524590163934</v>
      </c>
      <c r="Y36" s="16">
        <f>'C５级比赛'!Y36*9</f>
        <v>47.8140845070423</v>
      </c>
      <c r="Z36" s="16">
        <f>'C５级比赛'!Z36*9</f>
        <v>41.9111111111111</v>
      </c>
      <c r="AA36" s="16">
        <f>'C５级比赛'!AA36*9</f>
        <v>37.3054945054945</v>
      </c>
      <c r="AB36" s="16">
        <f>'C５级比赛'!AB36*9</f>
        <v>33.948</v>
      </c>
      <c r="AC36" s="16">
        <f>'C５级比赛'!AC36*9</f>
        <v>28.0561983471074</v>
      </c>
      <c r="AD36" s="16">
        <f>'C５级比赛'!AD36*9</f>
        <v>24.0765957446809</v>
      </c>
      <c r="AE36" s="16">
        <f>'C５级比赛'!AE36*9</f>
        <v>21.0857142857143</v>
      </c>
      <c r="AF36" s="25">
        <f>'C５级比赛'!AF36*9</f>
        <v>18.7558011049724</v>
      </c>
      <c r="AG36" s="25">
        <f>'C５级比赛'!AG36*9</f>
        <v>16.889552238806</v>
      </c>
      <c r="AH36" s="25">
        <f>'C５级比赛'!AH36*9</f>
        <v>11.2784053156146</v>
      </c>
      <c r="AI36" s="39">
        <f>'C５级比赛'!AI36*9</f>
        <v>25127.9804353754</v>
      </c>
      <c r="AJ36" s="27">
        <f>'C５级比赛'!AJ36*9</f>
        <v>31.3707620916048</v>
      </c>
      <c r="AK36" s="25"/>
      <c r="AL36" s="25"/>
      <c r="AM36" s="25"/>
      <c r="AN36" s="25"/>
      <c r="AO36" s="25"/>
      <c r="AP36" s="25"/>
      <c r="AQ36" s="23"/>
      <c r="AR36" s="23"/>
      <c r="AS36" s="23"/>
      <c r="AT36" s="23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="2" customFormat="1" spans="1:64">
      <c r="A37" s="19" t="s">
        <v>75</v>
      </c>
      <c r="B37" s="13">
        <f>'C５级比赛'!B37*9</f>
        <v>4104</v>
      </c>
      <c r="C37" s="13">
        <f>'C５级比赛'!C37*9</f>
        <v>2872.8</v>
      </c>
      <c r="D37" s="13">
        <f>'C５级比赛'!D37*9</f>
        <v>2052</v>
      </c>
      <c r="E37" s="13">
        <f>'C５级比赛'!E37*9</f>
        <v>1436.4</v>
      </c>
      <c r="F37" s="13">
        <f>'C５级比赛'!F37*9</f>
        <v>820.8</v>
      </c>
      <c r="G37" s="13">
        <f>'C５级比赛'!G37*9</f>
        <v>684</v>
      </c>
      <c r="H37" s="13">
        <f>'C５级比赛'!H37*9</f>
        <v>586.285714285714</v>
      </c>
      <c r="I37" s="13">
        <f>'C５级比赛'!I37*9</f>
        <v>513</v>
      </c>
      <c r="J37" s="13">
        <f>'C５级比赛'!J37*9</f>
        <v>456</v>
      </c>
      <c r="K37" s="13">
        <f>'C５级比赛'!K37*9</f>
        <v>410.4</v>
      </c>
      <c r="L37" s="13">
        <f>'C５级比赛'!L37*9</f>
        <v>373.090909090909</v>
      </c>
      <c r="M37" s="13">
        <f>'C５级比赛'!M37*9</f>
        <v>342</v>
      </c>
      <c r="N37" s="13">
        <f>'C５级比赛'!N37*9</f>
        <v>315.692307692308</v>
      </c>
      <c r="O37" s="13">
        <f>'C５级比赛'!O37*9</f>
        <v>293.142857142857</v>
      </c>
      <c r="P37" s="13">
        <f>'C５级比赛'!P37*9</f>
        <v>273.6</v>
      </c>
      <c r="Q37" s="13">
        <f>'C５级比赛'!Q37*9</f>
        <v>256.5</v>
      </c>
      <c r="R37" s="13">
        <f>'C５级比赛'!R37*9</f>
        <v>228</v>
      </c>
      <c r="S37" s="13">
        <f>'C５级比赛'!S37*9</f>
        <v>205.2</v>
      </c>
      <c r="T37" s="13">
        <f>'C５级比赛'!T37*9</f>
        <v>157.846153846154</v>
      </c>
      <c r="U37" s="13">
        <f>'C５级比赛'!U37*9</f>
        <v>136.8</v>
      </c>
      <c r="V37" s="13">
        <f>'C５级比赛'!V37*9</f>
        <v>100.09756097561</v>
      </c>
      <c r="W37" s="13">
        <f>'C５级比赛'!W37*9</f>
        <v>80.4705882352941</v>
      </c>
      <c r="X37" s="13">
        <f>'C５级比赛'!X37*9</f>
        <v>67.2786885245902</v>
      </c>
      <c r="Y37" s="13">
        <f>'C５级比赛'!Y37*9</f>
        <v>57.8028169014085</v>
      </c>
      <c r="Z37" s="13">
        <f>'C５级比赛'!Z37*9</f>
        <v>50.6666666666667</v>
      </c>
      <c r="AA37" s="13">
        <f>'C５级比赛'!AA37*9</f>
        <v>45.0989010989011</v>
      </c>
      <c r="AB37" s="13">
        <f>'C５级比赛'!AB37*9</f>
        <v>41.04</v>
      </c>
      <c r="AC37" s="13">
        <f>'C５级比赛'!AC37*9</f>
        <v>33.9173553719008</v>
      </c>
      <c r="AD37" s="13">
        <f>'C５级比赛'!AD37*9</f>
        <v>29.1063829787234</v>
      </c>
      <c r="AE37" s="13">
        <f>'C５级比赛'!AE37*9</f>
        <v>25.4906832298137</v>
      </c>
      <c r="AF37" s="29">
        <f>'C５级比赛'!AF37*9</f>
        <v>22.6740331491713</v>
      </c>
      <c r="AG37" s="29">
        <f>'C５级比赛'!AG37*9</f>
        <v>20.4179104477612</v>
      </c>
      <c r="AH37" s="29">
        <f>'C５级比赛'!AH37*9</f>
        <v>13.6345514950166</v>
      </c>
      <c r="AI37" s="29">
        <f>'C５级比赛'!AI37*9</f>
        <v>10.2344139650873</v>
      </c>
      <c r="AJ37" s="39">
        <f>'C５级比赛'!AJ37*9</f>
        <v>31400.851466846</v>
      </c>
      <c r="AK37" s="27">
        <f>'C５级比赛'!AK37*9</f>
        <v>31.3694819848611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>
      <c r="A38" s="22" t="s">
        <v>76</v>
      </c>
      <c r="B38" s="16">
        <f>'C５级比赛'!B38*9</f>
        <v>4514.4</v>
      </c>
      <c r="C38" s="16">
        <f>'C５级比赛'!C38*9</f>
        <v>4108.104</v>
      </c>
      <c r="D38" s="16">
        <f>'C５级比赛'!D38*9</f>
        <v>2934.36</v>
      </c>
      <c r="E38" s="16">
        <f>'C５级比赛'!E38*9</f>
        <v>2212.056</v>
      </c>
      <c r="F38" s="16">
        <f>'C５级比赛'!F38*9</f>
        <v>1264.032</v>
      </c>
      <c r="G38" s="16">
        <f>'C５级比赛'!G38*9</f>
        <v>1053.36</v>
      </c>
      <c r="H38" s="16">
        <f>'C５级比赛'!H38*9</f>
        <v>902.88</v>
      </c>
      <c r="I38" s="16">
        <f>'C５级比赛'!I38*9</f>
        <v>790.02</v>
      </c>
      <c r="J38" s="16">
        <f>'C５级比赛'!J38*9</f>
        <v>702.24</v>
      </c>
      <c r="K38" s="16">
        <f>'C５级比赛'!K38*9</f>
        <v>632.016</v>
      </c>
      <c r="L38" s="16">
        <f>'C５级比赛'!L38*9</f>
        <v>574.56</v>
      </c>
      <c r="M38" s="16">
        <f>'C５级比赛'!M38*9</f>
        <v>526.68</v>
      </c>
      <c r="N38" s="16">
        <f>'C５级比赛'!N38*9</f>
        <v>486.166153846154</v>
      </c>
      <c r="O38" s="16">
        <f>'C５级比赛'!O38*9</f>
        <v>451.44</v>
      </c>
      <c r="P38" s="16">
        <f>'C５级比赛'!P38*9</f>
        <v>421.344</v>
      </c>
      <c r="Q38" s="16">
        <f>'C５级比赛'!Q38*9</f>
        <v>395.01</v>
      </c>
      <c r="R38" s="16">
        <f>'C５级比赛'!R38*9</f>
        <v>351.12</v>
      </c>
      <c r="S38" s="16">
        <f>'C５级比赛'!S38*9</f>
        <v>293.436</v>
      </c>
      <c r="T38" s="16">
        <f>'C５级比赛'!T38*9</f>
        <v>225.72</v>
      </c>
      <c r="U38" s="16">
        <f>'C５级比赛'!U38*9</f>
        <v>195.624</v>
      </c>
      <c r="V38" s="16">
        <f>'C５级比赛'!V38*9</f>
        <v>143.139512195122</v>
      </c>
      <c r="W38" s="16">
        <f>'C５级比赛'!W38*9</f>
        <v>115.072941176471</v>
      </c>
      <c r="X38" s="16">
        <f>'C５级比赛'!X38*9</f>
        <v>96.2085245901639</v>
      </c>
      <c r="Y38" s="16">
        <f>'C５级比赛'!Y38*9</f>
        <v>82.6580281690141</v>
      </c>
      <c r="Z38" s="16">
        <f>'C５级比赛'!Z38*9</f>
        <v>72.4533333333333</v>
      </c>
      <c r="AA38" s="16">
        <f>'C５级比赛'!AA38*9</f>
        <v>64.4914285714286</v>
      </c>
      <c r="AB38" s="16">
        <f>'C５级比赛'!AB38*9</f>
        <v>58.6872</v>
      </c>
      <c r="AC38" s="16">
        <f>'C５级比赛'!AC38*9</f>
        <v>48.5018181818182</v>
      </c>
      <c r="AD38" s="16">
        <f>'C５级比赛'!AD38*9</f>
        <v>41.6221276595745</v>
      </c>
      <c r="AE38" s="16">
        <f>'C５级比赛'!AE38*9</f>
        <v>36.4516770186335</v>
      </c>
      <c r="AF38" s="25">
        <f>'C５级比赛'!AF38*9</f>
        <v>32.4238674033149</v>
      </c>
      <c r="AG38" s="25">
        <f>'C５级比赛'!AG38*9</f>
        <v>29.1976119402985</v>
      </c>
      <c r="AH38" s="25">
        <f>'C５级比赛'!AH38*9</f>
        <v>19.4974086378738</v>
      </c>
      <c r="AI38" s="25">
        <f>'C５级比赛'!AI38*9</f>
        <v>14.6352119700748</v>
      </c>
      <c r="AJ38" s="25">
        <f>'C５级比赛'!AJ38*9</f>
        <v>11.7140119760479</v>
      </c>
      <c r="AK38" s="39">
        <f>'C５级比赛'!AK38*9</f>
        <v>47324.555888305</v>
      </c>
      <c r="AL38" s="27">
        <f>'C５级比赛'!AL38*9</f>
        <v>31.5286848023351</v>
      </c>
      <c r="AM38" s="25"/>
      <c r="AN38" s="25"/>
      <c r="AO38" s="25"/>
      <c r="AP38" s="25"/>
      <c r="AQ38" s="23"/>
      <c r="AR38" s="23"/>
      <c r="AS38" s="23"/>
      <c r="AT38" s="23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>
      <c r="A39" s="22" t="s">
        <v>77</v>
      </c>
      <c r="B39" s="16">
        <f>'C５级比赛'!B39*9</f>
        <v>4965.84</v>
      </c>
      <c r="C39" s="16">
        <f>'C５级比赛'!C39*9</f>
        <v>4518.9144</v>
      </c>
      <c r="D39" s="16">
        <f>'C５级比赛'!D39*9</f>
        <v>4220.964</v>
      </c>
      <c r="E39" s="16">
        <f>'C５级比赛'!E39*9</f>
        <v>2954.6748</v>
      </c>
      <c r="F39" s="16">
        <f>'C５级比赛'!F39*9</f>
        <v>1688.3856</v>
      </c>
      <c r="G39" s="16">
        <f>'C５级比赛'!G39*9</f>
        <v>1406.988</v>
      </c>
      <c r="H39" s="16">
        <f>'C５级比赛'!H39*9</f>
        <v>1205.98971428571</v>
      </c>
      <c r="I39" s="16">
        <f>'C５级比赛'!I39*9</f>
        <v>1055.241</v>
      </c>
      <c r="J39" s="16">
        <f>'C５级比赛'!J39*9</f>
        <v>937.992</v>
      </c>
      <c r="K39" s="16">
        <f>'C５级比赛'!K39*9</f>
        <v>844.1928</v>
      </c>
      <c r="L39" s="16">
        <f>'C５级比赛'!L39*9</f>
        <v>767.448</v>
      </c>
      <c r="M39" s="16">
        <f>'C５级比赛'!M39*9</f>
        <v>703.494</v>
      </c>
      <c r="N39" s="16">
        <f>'C５级比赛'!N39*9</f>
        <v>649.379076923077</v>
      </c>
      <c r="O39" s="16">
        <f>'C５级比赛'!O39*9</f>
        <v>602.994857142857</v>
      </c>
      <c r="P39" s="16">
        <f>'C５级比赛'!P39*9</f>
        <v>562.7952</v>
      </c>
      <c r="Q39" s="16">
        <f>'C５级比赛'!Q39*9</f>
        <v>527.6205</v>
      </c>
      <c r="R39" s="16">
        <f>'C５级比赛'!R39*9</f>
        <v>468.996</v>
      </c>
      <c r="S39" s="16">
        <f>'C５级比赛'!S39*9</f>
        <v>422.0964</v>
      </c>
      <c r="T39" s="16">
        <f>'C５级比赛'!T39*9</f>
        <v>324.689538461538</v>
      </c>
      <c r="U39" s="16">
        <f>'C５级比赛'!U39*9</f>
        <v>281.3976</v>
      </c>
      <c r="V39" s="16">
        <f>'C５级比赛'!V39*9</f>
        <v>181.677073170732</v>
      </c>
      <c r="W39" s="16">
        <f>'C５级比赛'!W39*9</f>
        <v>146.054117647059</v>
      </c>
      <c r="X39" s="16">
        <f>'C５级比赛'!X39*9</f>
        <v>122.110819672131</v>
      </c>
      <c r="Y39" s="16">
        <f>'C５级比赛'!Y39*9</f>
        <v>104.912112676056</v>
      </c>
      <c r="Z39" s="16">
        <f>'C５级比赛'!Z39*9</f>
        <v>91.96</v>
      </c>
      <c r="AA39" s="16">
        <f>'C５级比赛'!AA39*9</f>
        <v>81.8545054945055</v>
      </c>
      <c r="AB39" s="16">
        <f>'C５级比赛'!AB39*9</f>
        <v>74.4876</v>
      </c>
      <c r="AC39" s="16">
        <f>'C５级比赛'!AC39*9</f>
        <v>61.56</v>
      </c>
      <c r="AD39" s="16">
        <f>'C５级比赛'!AD39*9</f>
        <v>52.828085106383</v>
      </c>
      <c r="AE39" s="16">
        <f>'C５级比赛'!AE39*9</f>
        <v>46.2655900621118</v>
      </c>
      <c r="AF39" s="25">
        <f>'C５级比赛'!AF39*9</f>
        <v>41.1533701657459</v>
      </c>
      <c r="AG39" s="25">
        <f>'C５级比赛'!AG39*9</f>
        <v>37.0585074626866</v>
      </c>
      <c r="AH39" s="25">
        <f>'C５级比赛'!AH39*9</f>
        <v>24.7467109634552</v>
      </c>
      <c r="AI39" s="25">
        <f>'C５级比赛'!AI39*9</f>
        <v>18.5754613466334</v>
      </c>
      <c r="AJ39" s="25">
        <f>'C５级比赛'!AJ39*9</f>
        <v>14.8677844311377</v>
      </c>
      <c r="AK39" s="25">
        <f>'C５级比赛'!AK39*9</f>
        <v>9.91845539280959</v>
      </c>
      <c r="AL39" s="39">
        <f>'C５级比赛'!AL39*9</f>
        <v>63141.6352672133</v>
      </c>
      <c r="AM39" s="27">
        <f>'C５级比赛'!AM39*9</f>
        <v>31.5550401135499</v>
      </c>
      <c r="AN39" s="25"/>
      <c r="AO39" s="25"/>
      <c r="AP39" s="25"/>
      <c r="AQ39" s="23"/>
      <c r="AR39" s="23"/>
      <c r="AS39" s="23"/>
      <c r="AT39" s="23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>
      <c r="A40" s="22" t="s">
        <v>78</v>
      </c>
      <c r="B40" s="16">
        <f>'C５级比赛'!B40*9</f>
        <v>5710.716</v>
      </c>
      <c r="C40" s="16">
        <f>'C５级比赛'!C40*9</f>
        <v>5196.75156</v>
      </c>
      <c r="D40" s="16">
        <f>'C５级比赛'!D40*9</f>
        <v>4711.3407</v>
      </c>
      <c r="E40" s="16">
        <f>'C５级比赛'!E40*9</f>
        <v>4397.25132</v>
      </c>
      <c r="F40" s="16">
        <f>'C５级比赛'!F40*9</f>
        <v>2512.71504</v>
      </c>
      <c r="G40" s="16">
        <f>'C５级比赛'!G40*9</f>
        <v>2093.9292</v>
      </c>
      <c r="H40" s="16">
        <f>'C５级比赛'!H40*9</f>
        <v>1794.79645714286</v>
      </c>
      <c r="I40" s="16">
        <f>'C５级比赛'!I40*9</f>
        <v>1570.4469</v>
      </c>
      <c r="J40" s="16">
        <f>'C５级比赛'!J40*9</f>
        <v>1395.9528</v>
      </c>
      <c r="K40" s="16">
        <f>'C５级比赛'!K40*9</f>
        <v>1256.35752</v>
      </c>
      <c r="L40" s="16">
        <f>'C５级比赛'!L40*9</f>
        <v>1142.1432</v>
      </c>
      <c r="M40" s="16">
        <f>'C５级比赛'!M40*9</f>
        <v>1046.9646</v>
      </c>
      <c r="N40" s="16">
        <f>'C５级比赛'!N40*9</f>
        <v>966.428861538462</v>
      </c>
      <c r="O40" s="16">
        <f>'C５级比赛'!O40*9</f>
        <v>897.398228571429</v>
      </c>
      <c r="P40" s="16">
        <f>'C５级比赛'!P40*9</f>
        <v>837.57168</v>
      </c>
      <c r="Q40" s="16">
        <f>'C５级比赛'!Q40*9</f>
        <v>785.22345</v>
      </c>
      <c r="R40" s="16">
        <f>'C５级比赛'!R40*9</f>
        <v>697.9764</v>
      </c>
      <c r="S40" s="16">
        <f>'C５级比赛'!S40*9</f>
        <v>628.17876</v>
      </c>
      <c r="T40" s="16">
        <f>'C５级比赛'!T40*9</f>
        <v>483.214430769231</v>
      </c>
      <c r="U40" s="16">
        <f>'C５级比赛'!U40*9</f>
        <v>418.78584</v>
      </c>
      <c r="V40" s="16">
        <f>'C５级比赛'!V40*9</f>
        <v>306.428663414634</v>
      </c>
      <c r="W40" s="16">
        <f>'C５级比赛'!W40*9</f>
        <v>246.344611764706</v>
      </c>
      <c r="X40" s="16">
        <f>'C５级比赛'!X40*9</f>
        <v>205.960249180328</v>
      </c>
      <c r="Y40" s="16">
        <f>'C５级比赛'!Y40*9</f>
        <v>176.951763380282</v>
      </c>
      <c r="Z40" s="16">
        <f>'C５级比赛'!Z40*9</f>
        <v>155.105866666667</v>
      </c>
      <c r="AA40" s="16">
        <f>'C５级比赛'!AA40*9</f>
        <v>138.061265934066</v>
      </c>
      <c r="AB40" s="16">
        <f>'C５级比赛'!AB40*9</f>
        <v>125.635752</v>
      </c>
      <c r="AC40" s="16">
        <f>'C５级比赛'!AC40*9</f>
        <v>103.8312</v>
      </c>
      <c r="AD40" s="16">
        <f>'C５级比赛'!AD40*9</f>
        <v>81.0030638297873</v>
      </c>
      <c r="AE40" s="16">
        <f>'C５级比赛'!AE40*9</f>
        <v>70.9405714285714</v>
      </c>
      <c r="AF40" s="25">
        <f>'C５级比赛'!AF40*9</f>
        <v>63.1018342541437</v>
      </c>
      <c r="AG40" s="25">
        <f>'C５级比赛'!AG40*9</f>
        <v>56.8230447761194</v>
      </c>
      <c r="AH40" s="25">
        <f>'C５级比赛'!AH40*9</f>
        <v>37.9449568106312</v>
      </c>
      <c r="AI40" s="25">
        <f>'C５级比赛'!AI40*9</f>
        <v>28.4823740648379</v>
      </c>
      <c r="AJ40" s="25">
        <f>'C５级比赛'!AJ40*9</f>
        <v>18.2378155688623</v>
      </c>
      <c r="AK40" s="25">
        <f>'C５级比赛'!AK40*9</f>
        <v>12.1666386151798</v>
      </c>
      <c r="AL40" s="25">
        <f>'C５级比赛'!AL40*9</f>
        <v>9.12801758241758</v>
      </c>
      <c r="AM40" s="39">
        <f>'C５级比赛'!AM40*9</f>
        <v>94608.8970571339</v>
      </c>
      <c r="AN40" s="27">
        <f>'C５级比赛'!AN40*9</f>
        <v>31.5257904222372</v>
      </c>
      <c r="AO40" s="25"/>
      <c r="AP40" s="25"/>
      <c r="AQ40" s="23"/>
      <c r="AR40" s="23"/>
      <c r="AS40" s="23"/>
      <c r="AT40" s="23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>
      <c r="A41" s="22" t="s">
        <v>79</v>
      </c>
      <c r="B41" s="16">
        <f>'C５级比赛'!B41*9</f>
        <v>6567.3234</v>
      </c>
      <c r="C41" s="16">
        <f>'C５级比赛'!C41*9</f>
        <v>5976.264294</v>
      </c>
      <c r="D41" s="16">
        <f>'C５级比赛'!D41*9</f>
        <v>5418.041805</v>
      </c>
      <c r="E41" s="16">
        <f>'C５级比赛'!E41*9</f>
        <v>5056.839018</v>
      </c>
      <c r="F41" s="16">
        <f>'C５级比赛'!F41*9</f>
        <v>3415.008168</v>
      </c>
      <c r="G41" s="16">
        <f>'C５级比赛'!G41*9</f>
        <v>2845.84014</v>
      </c>
      <c r="H41" s="16">
        <f>'C５级比赛'!H41*9</f>
        <v>2439.29154857143</v>
      </c>
      <c r="I41" s="16">
        <f>'C５级比赛'!I41*9</f>
        <v>2134.380105</v>
      </c>
      <c r="J41" s="16">
        <f>'C５级比赛'!J41*9</f>
        <v>1897.22676</v>
      </c>
      <c r="K41" s="16">
        <f>'C５级比赛'!K41*9</f>
        <v>1707.504084</v>
      </c>
      <c r="L41" s="16">
        <f>'C５级比赛'!L41*9</f>
        <v>1552.27644</v>
      </c>
      <c r="M41" s="16">
        <f>'C５级比赛'!M41*9</f>
        <v>1422.92007</v>
      </c>
      <c r="N41" s="16">
        <f>'C５级比赛'!N41*9</f>
        <v>1313.46468</v>
      </c>
      <c r="O41" s="16">
        <f>'C５级比赛'!O41*9</f>
        <v>1219.64577428571</v>
      </c>
      <c r="P41" s="16">
        <f>'C５级比赛'!P41*9</f>
        <v>1138.336056</v>
      </c>
      <c r="Q41" s="16">
        <f>'C５级比赛'!Q41*9</f>
        <v>1067.1900525</v>
      </c>
      <c r="R41" s="16">
        <f>'C５级比赛'!R41*9</f>
        <v>948.61338</v>
      </c>
      <c r="S41" s="16">
        <f>'C５级比赛'!S41*9</f>
        <v>853.752042</v>
      </c>
      <c r="T41" s="16">
        <f>'C５级比赛'!T41*9</f>
        <v>656.73234</v>
      </c>
      <c r="U41" s="16">
        <f>'C５级比赛'!U41*9</f>
        <v>569.168028</v>
      </c>
      <c r="V41" s="16">
        <f>'C５级比赛'!V41*9</f>
        <v>416.464410731707</v>
      </c>
      <c r="W41" s="16">
        <f>'C５级比赛'!W41*9</f>
        <v>334.804722352941</v>
      </c>
      <c r="X41" s="16">
        <f>'C５级比赛'!X41*9</f>
        <v>279.918702295082</v>
      </c>
      <c r="Y41" s="16">
        <f>'C５级比赛'!Y41*9</f>
        <v>240.493532957747</v>
      </c>
      <c r="Z41" s="16">
        <f>'C５级比赛'!Z41*9</f>
        <v>210.802973333333</v>
      </c>
      <c r="AA41" s="16">
        <f>'C５级比赛'!AA41*9</f>
        <v>187.637811428571</v>
      </c>
      <c r="AB41" s="16">
        <f>'C５级比赛'!AB41*9</f>
        <v>170.7504084</v>
      </c>
      <c r="AC41" s="16">
        <f>'C５级比赛'!AC41*9</f>
        <v>119.40588</v>
      </c>
      <c r="AD41" s="16">
        <f>'C５级比赛'!AD41*9</f>
        <v>102.468875744681</v>
      </c>
      <c r="AE41" s="16">
        <f>'C５级比赛'!AE41*9</f>
        <v>89.7398228571429</v>
      </c>
      <c r="AF41" s="25">
        <f>'C５级比赛'!AF41*9</f>
        <v>79.8238203314917</v>
      </c>
      <c r="AG41" s="25">
        <f>'C５级比赛'!AG41*9</f>
        <v>71.881151641791</v>
      </c>
      <c r="AH41" s="25">
        <f>'C５级比赛'!AH41*9</f>
        <v>43.6367003322259</v>
      </c>
      <c r="AI41" s="25">
        <f>'C５级比赛'!AI41*9</f>
        <v>32.7547301745636</v>
      </c>
      <c r="AJ41" s="25">
        <f>'C５级比赛'!AJ41*9</f>
        <v>26.2168598802395</v>
      </c>
      <c r="AK41" s="25">
        <f>'C５级比赛'!AK41*9</f>
        <v>17.4895430093209</v>
      </c>
      <c r="AL41" s="25">
        <f>'C５级比赛'!AL41*9</f>
        <v>13.1215252747253</v>
      </c>
      <c r="AM41" s="25">
        <f>'C５级比赛'!AM41*9</f>
        <v>7.00047797468355</v>
      </c>
      <c r="AN41" s="39">
        <f>'C５级比赛'!AN41*9</f>
        <v>126088.54301747</v>
      </c>
      <c r="AO41" s="27">
        <f>'C５级比赛'!AO41*9</f>
        <v>31.51425719007</v>
      </c>
      <c r="AP41" s="25"/>
      <c r="AQ41" s="23"/>
      <c r="AR41" s="23"/>
      <c r="AS41" s="23"/>
      <c r="AT41" s="23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>
      <c r="A42" s="22" t="s">
        <v>80</v>
      </c>
      <c r="B42" s="16">
        <f>'C５级比赛'!B42*9</f>
        <v>7552.42191</v>
      </c>
      <c r="C42" s="16">
        <f>'C５级比赛'!C42*9</f>
        <v>6872.7039381</v>
      </c>
      <c r="D42" s="16">
        <f>'C５级比赛'!D42*9</f>
        <v>6230.74807575</v>
      </c>
      <c r="E42" s="16">
        <f>'C５级比赛'!E42*9</f>
        <v>5815.3648707</v>
      </c>
      <c r="F42" s="16">
        <f>'C５级比赛'!F42*9</f>
        <v>4984.5984606</v>
      </c>
      <c r="G42" s="16">
        <f>'C５级比赛'!G42*9</f>
        <v>4153.8320505</v>
      </c>
      <c r="H42" s="16">
        <f>'C５级比赛'!H42*9</f>
        <v>3560.42747185714</v>
      </c>
      <c r="I42" s="16">
        <f>'C５级比赛'!I42*9</f>
        <v>3115.374037875</v>
      </c>
      <c r="J42" s="16">
        <f>'C５级比赛'!J42*9</f>
        <v>2769.221367</v>
      </c>
      <c r="K42" s="16">
        <f>'C５级比赛'!K42*9</f>
        <v>2492.2992303</v>
      </c>
      <c r="L42" s="16">
        <f>'C５级比赛'!L42*9</f>
        <v>2265.726573</v>
      </c>
      <c r="M42" s="16">
        <f>'C５级比赛'!M42*9</f>
        <v>2076.91602525</v>
      </c>
      <c r="N42" s="16">
        <f>'C５级比赛'!N42*9</f>
        <v>1917.15325407692</v>
      </c>
      <c r="O42" s="16">
        <f>'C５级比赛'!O42*9</f>
        <v>1780.21373592857</v>
      </c>
      <c r="P42" s="16">
        <f>'C５级比赛'!P42*9</f>
        <v>1661.5328202</v>
      </c>
      <c r="Q42" s="16">
        <f>'C５级比赛'!Q42*9</f>
        <v>1557.6870189375</v>
      </c>
      <c r="R42" s="16">
        <f>'C５级比赛'!R42*9</f>
        <v>1384.6106835</v>
      </c>
      <c r="S42" s="16">
        <f>'C５级比赛'!S42*9</f>
        <v>1246.14961515</v>
      </c>
      <c r="T42" s="16">
        <f>'C５级比赛'!T42*9</f>
        <v>958.576627038462</v>
      </c>
      <c r="U42" s="16">
        <f>'C５级比赛'!U42*9</f>
        <v>830.7664101</v>
      </c>
      <c r="V42" s="16">
        <f>'C５级比赛'!V42*9</f>
        <v>607.87786104878</v>
      </c>
      <c r="W42" s="16">
        <f>'C５级比赛'!W42*9</f>
        <v>488.686123588235</v>
      </c>
      <c r="X42" s="16">
        <f>'C５级比赛'!X42*9</f>
        <v>408.573644311475</v>
      </c>
      <c r="Y42" s="16">
        <f>'C５级比赛'!Y42*9</f>
        <v>351.028060605634</v>
      </c>
      <c r="Z42" s="16">
        <f>'C５级比赛'!Z42*9</f>
        <v>307.691263</v>
      </c>
      <c r="AA42" s="16">
        <f>'C５级比赛'!AA42*9</f>
        <v>273.879036296703</v>
      </c>
      <c r="AB42" s="16">
        <f>'C５级比赛'!AB42*9</f>
        <v>249.22992303</v>
      </c>
      <c r="AC42" s="16">
        <f>'C５级比赛'!AC42*9</f>
        <v>205.975143</v>
      </c>
      <c r="AD42" s="16">
        <f>'C５级比赛'!AD42*9</f>
        <v>176.758810659574</v>
      </c>
      <c r="AE42" s="16">
        <f>'C５级比赛'!AE42*9</f>
        <v>154.801194428571</v>
      </c>
      <c r="AF42" s="25">
        <f>'C５级比赛'!AF42*9</f>
        <v>137.696090071823</v>
      </c>
      <c r="AG42" s="25">
        <f>'C５级比赛'!AG42*9</f>
        <v>123.99498658209</v>
      </c>
      <c r="AH42" s="25">
        <f>'C５级比赛'!AH42*9</f>
        <v>75.2733080730897</v>
      </c>
      <c r="AI42" s="25">
        <f>'C５级比赛'!AI42*9</f>
        <v>56.5019095511222</v>
      </c>
      <c r="AJ42" s="25">
        <f>'C５级比赛'!AJ42*9</f>
        <v>45.2240832934132</v>
      </c>
      <c r="AK42" s="25">
        <f>'C５级比赛'!AK42*9</f>
        <v>25.1412180758988</v>
      </c>
      <c r="AL42" s="25">
        <f>'C５级比赛'!AL42*9</f>
        <v>15.0897540659341</v>
      </c>
      <c r="AM42" s="25">
        <f>'C５级比赛'!AM42*9</f>
        <v>10.0631870886076</v>
      </c>
      <c r="AN42" s="25">
        <f>'C５级比赛'!AN42*9</f>
        <v>6.79378282758621</v>
      </c>
      <c r="AO42" s="39">
        <f>'C５级比赛'!AO42*9</f>
        <v>189254.217501578</v>
      </c>
      <c r="AP42" s="27">
        <f>'C５级比赛'!AP42*9</f>
        <v>31.53711339803</v>
      </c>
      <c r="AQ42" s="23"/>
      <c r="AR42" s="23"/>
      <c r="AS42" s="23"/>
      <c r="AT42" s="23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>
      <c r="A43" s="22" t="s">
        <v>81</v>
      </c>
      <c r="B43" s="16">
        <f>'C５级比赛'!B43*9</f>
        <v>8685.2851965</v>
      </c>
      <c r="C43" s="16">
        <f>'C５级比赛'!C43*9</f>
        <v>7903.609528815</v>
      </c>
      <c r="D43" s="16">
        <f>'C５级比赛'!D43*9</f>
        <v>7165.3602871125</v>
      </c>
      <c r="E43" s="16">
        <f>'C５级比赛'!E43*9</f>
        <v>6687.669601305</v>
      </c>
      <c r="F43" s="16">
        <f>'C５级比赛'!F43*9</f>
        <v>6253.40534148</v>
      </c>
      <c r="G43" s="16">
        <f>'C５级比赛'!G43*9</f>
        <v>5211.1711179</v>
      </c>
      <c r="H43" s="16">
        <f>'C５级比赛'!H43*9</f>
        <v>4466.71810105714</v>
      </c>
      <c r="I43" s="16">
        <f>'C５级比赛'!I43*9</f>
        <v>3908.378338425</v>
      </c>
      <c r="J43" s="16">
        <f>'C５级比赛'!J43*9</f>
        <v>3474.1140786</v>
      </c>
      <c r="K43" s="16">
        <f>'C５级比赛'!K43*9</f>
        <v>3126.70267074</v>
      </c>
      <c r="L43" s="16">
        <f>'C５级比赛'!L43*9</f>
        <v>2842.4569734</v>
      </c>
      <c r="M43" s="16">
        <f>'C５级比赛'!M43*9</f>
        <v>2605.58555895</v>
      </c>
      <c r="N43" s="16">
        <f>'C５级比赛'!N43*9</f>
        <v>2405.15590056923</v>
      </c>
      <c r="O43" s="16">
        <f>'C５级比赛'!O43*9</f>
        <v>2233.35905052857</v>
      </c>
      <c r="P43" s="16">
        <f>'C５级比赛'!P43*9</f>
        <v>2084.46844716</v>
      </c>
      <c r="Q43" s="16">
        <f>'C５级比赛'!Q43*9</f>
        <v>1954.1891692125</v>
      </c>
      <c r="R43" s="16">
        <f>'C５级比赛'!R43*9</f>
        <v>1737.0570393</v>
      </c>
      <c r="S43" s="16">
        <f>'C５级比赛'!S43*9</f>
        <v>1563.35133537</v>
      </c>
      <c r="T43" s="16">
        <f>'C５级比赛'!T43*9</f>
        <v>1202.57795028462</v>
      </c>
      <c r="U43" s="16">
        <f>'C５级比赛'!U43*9</f>
        <v>1042.23422358</v>
      </c>
      <c r="V43" s="16">
        <f>'C５级比赛'!V43*9</f>
        <v>762.610407497561</v>
      </c>
      <c r="W43" s="16">
        <f>'C５级比赛'!W43*9</f>
        <v>613.078955047059</v>
      </c>
      <c r="X43" s="16">
        <f>'C５级比赛'!X43*9</f>
        <v>512.574208318033</v>
      </c>
      <c r="Y43" s="16">
        <f>'C５级比赛'!Y43*9</f>
        <v>440.380657850704</v>
      </c>
      <c r="Z43" s="16">
        <f>'C５级比赛'!Z43*9</f>
        <v>386.0126754</v>
      </c>
      <c r="AA43" s="16">
        <f>'C５级比赛'!AA43*9</f>
        <v>343.593700081319</v>
      </c>
      <c r="AB43" s="16">
        <f>'C５级比赛'!AB43*9</f>
        <v>312.670267074</v>
      </c>
      <c r="AC43" s="16">
        <f>'C５级比赛'!AC43*9</f>
        <v>258.4051794</v>
      </c>
      <c r="AD43" s="16">
        <f>'C５级比赛'!AD43*9</f>
        <v>215.592185728723</v>
      </c>
      <c r="AE43" s="16">
        <f>'C５级比赛'!AE43*9</f>
        <v>188.81054775</v>
      </c>
      <c r="AF43" s="25">
        <f>'C５级比赛'!AF43*9</f>
        <v>167.947503799724</v>
      </c>
      <c r="AG43" s="25">
        <f>'C５级比赛'!AG43*9</f>
        <v>151.236309391791</v>
      </c>
      <c r="AH43" s="25">
        <f>'C５级比赛'!AH43*9</f>
        <v>95.2207347124585</v>
      </c>
      <c r="AI43" s="25">
        <f>'C５级比赛'!AI43*9</f>
        <v>71.4749155821696</v>
      </c>
      <c r="AJ43" s="25">
        <f>'C５级比赛'!AJ43*9</f>
        <v>53.741285647006</v>
      </c>
      <c r="AK43" s="25">
        <f>'C５级比赛'!AK43*9</f>
        <v>34.6948809447403</v>
      </c>
      <c r="AL43" s="25">
        <f>'C５级比赛'!AL43*9</f>
        <v>26.0298257637363</v>
      </c>
      <c r="AM43" s="25">
        <f>'C５级比赛'!AM43*9</f>
        <v>17.3589977278481</v>
      </c>
      <c r="AN43" s="25">
        <f>'C５级比赛'!AN43*9</f>
        <v>13.0214170862069</v>
      </c>
      <c r="AO43" s="25">
        <f>'C５级比赛'!AO43*9</f>
        <v>8.10356499506831</v>
      </c>
      <c r="AP43" s="39">
        <f>'C５级比赛'!AP43*9</f>
        <v>252597.629473582</v>
      </c>
      <c r="AQ43" s="23"/>
      <c r="AR43" s="23"/>
      <c r="AS43" s="23"/>
      <c r="AT43" s="23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="2" customFormat="1" ht="21.6" spans="1:64">
      <c r="A44" s="19" t="s">
        <v>82</v>
      </c>
      <c r="B44" s="13">
        <f>'C５级比赛'!B44*9</f>
        <v>9988.077975975</v>
      </c>
      <c r="C44" s="13">
        <f>'C５级比赛'!C44*9</f>
        <v>9089.15095813725</v>
      </c>
      <c r="D44" s="13">
        <f>'C５级比赛'!D44*9</f>
        <v>8240.16433017937</v>
      </c>
      <c r="E44" s="13">
        <f>'C５级比赛'!E44*9</f>
        <v>7690.82004150075</v>
      </c>
      <c r="F44" s="13">
        <f>'C５级比赛'!F44*9</f>
        <v>7191.416142702</v>
      </c>
      <c r="G44" s="13">
        <f>'C５级比赛'!G44*9</f>
        <v>5992.846785585</v>
      </c>
      <c r="H44" s="13">
        <f>'C５级比赛'!H44*9</f>
        <v>5136.72581621571</v>
      </c>
      <c r="I44" s="13">
        <f>'C５级比赛'!I44*9</f>
        <v>4494.63508918875</v>
      </c>
      <c r="J44" s="13">
        <f>'C５级比赛'!J44*9</f>
        <v>3995.23119039</v>
      </c>
      <c r="K44" s="13">
        <f>'C５级比赛'!K44*9</f>
        <v>3595.708071351</v>
      </c>
      <c r="L44" s="13">
        <f>'C５级比赛'!L44*9</f>
        <v>3268.82551941</v>
      </c>
      <c r="M44" s="13">
        <f>'C５级比赛'!M44*9</f>
        <v>2996.4233927925</v>
      </c>
      <c r="N44" s="13">
        <f>'C５级比赛'!N44*9</f>
        <v>2765.92928565462</v>
      </c>
      <c r="O44" s="13">
        <f>'C５级比赛'!O44*9</f>
        <v>2568.36290810786</v>
      </c>
      <c r="P44" s="13">
        <f>'C５级比赛'!P44*9</f>
        <v>2397.138714234</v>
      </c>
      <c r="Q44" s="13">
        <f>'C５级比赛'!Q44*9</f>
        <v>2247.31754459437</v>
      </c>
      <c r="R44" s="13">
        <f>'C５级比赛'!R44*9</f>
        <v>1997.615595195</v>
      </c>
      <c r="S44" s="13">
        <f>'C５级比赛'!S44*9</f>
        <v>1797.8540356755</v>
      </c>
      <c r="T44" s="13">
        <f>'C５级比赛'!T44*9</f>
        <v>1382.96464282731</v>
      </c>
      <c r="U44" s="13">
        <f>'C５级比赛'!U44*9</f>
        <v>1198.569357117</v>
      </c>
      <c r="V44" s="13">
        <f>'C５级比赛'!V44*9</f>
        <v>877.001968622195</v>
      </c>
      <c r="W44" s="13">
        <f>'C５级比赛'!W44*9</f>
        <v>705.040798304118</v>
      </c>
      <c r="X44" s="13">
        <f>'C５级比赛'!X44*9</f>
        <v>589.460339565738</v>
      </c>
      <c r="Y44" s="13">
        <f>'C５级比赛'!Y44*9</f>
        <v>506.43775652831</v>
      </c>
      <c r="Z44" s="13">
        <f>'C５级比赛'!Z44*9</f>
        <v>443.91457671</v>
      </c>
      <c r="AA44" s="13">
        <f>'C５级比赛'!AA44*9</f>
        <v>395.132755093516</v>
      </c>
      <c r="AB44" s="13">
        <f>'C５级比赛'!AB44*9</f>
        <v>359.5708071351</v>
      </c>
      <c r="AC44" s="13">
        <f>'C５级比赛'!AC44*9</f>
        <v>297.16595631</v>
      </c>
      <c r="AD44" s="13">
        <f>'C５级比赛'!AD44*9</f>
        <v>255.014756833404</v>
      </c>
      <c r="AE44" s="13">
        <f>'C５级比赛'!AE44*9</f>
        <v>223.335905052857</v>
      </c>
      <c r="AF44" s="29">
        <f>'C５级比赛'!AF44*9</f>
        <v>198.65790449453</v>
      </c>
      <c r="AG44" s="29">
        <f>'C５级比赛'!AG44*9</f>
        <v>178.890948823433</v>
      </c>
      <c r="AH44" s="29">
        <f>'C５级比赛'!AH44*9</f>
        <v>119.458739911993</v>
      </c>
      <c r="AI44" s="29">
        <f>'C５级比赛'!AI44*9</f>
        <v>89.6685304576309</v>
      </c>
      <c r="AJ44" s="29">
        <f>'C５级比赛'!AJ44*9</f>
        <v>71.7706201866467</v>
      </c>
      <c r="AK44" s="29">
        <f>'C５级比赛'!AK44*9</f>
        <v>47.8789357037417</v>
      </c>
      <c r="AL44" s="29">
        <f>'C５级比赛'!AL44*9</f>
        <v>34.9233495663462</v>
      </c>
      <c r="AM44" s="29">
        <f>'C５级比赛'!AM44*9</f>
        <v>23.2899886181962</v>
      </c>
      <c r="AN44" s="29">
        <f>'C５级比赛'!AN44*9</f>
        <v>17.4704012573276</v>
      </c>
      <c r="AO44" s="29">
        <f>'C５级比赛'!AO44*9</f>
        <v>11.6488746804107</v>
      </c>
      <c r="AP44" s="29">
        <f>'C５级比赛'!AP44*9</f>
        <v>8.73738388300737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>
      <c r="A45" s="22" t="s">
        <v>83</v>
      </c>
      <c r="B45" s="16">
        <f>'C５级比赛'!B45*9</f>
        <v>9988.077975975</v>
      </c>
      <c r="C45" s="16">
        <f>'C５级比赛'!C45*9</f>
        <v>9089.15095813725</v>
      </c>
      <c r="D45" s="16">
        <f>'C５级比赛'!D45*9</f>
        <v>8240.16433017937</v>
      </c>
      <c r="E45" s="16">
        <f>'C５级比赛'!E45*9</f>
        <v>7690.82004150075</v>
      </c>
      <c r="F45" s="16">
        <f>'C５级比赛'!F45*9</f>
        <v>7191.416142702</v>
      </c>
      <c r="G45" s="16">
        <f>'C５级比赛'!G45*9</f>
        <v>5992.846785585</v>
      </c>
      <c r="H45" s="16">
        <f>'C５级比赛'!H45*9</f>
        <v>5136.72581621571</v>
      </c>
      <c r="I45" s="16">
        <f>'C５级比赛'!I45*9</f>
        <v>4494.63508918875</v>
      </c>
      <c r="J45" s="16">
        <f>'C５级比赛'!J45*9</f>
        <v>3995.23119039</v>
      </c>
      <c r="K45" s="16">
        <f>'C５级比赛'!K45*9</f>
        <v>3595.708071351</v>
      </c>
      <c r="L45" s="16">
        <f>'C５级比赛'!L45*9</f>
        <v>3268.82551941</v>
      </c>
      <c r="M45" s="16">
        <f>'C５级比赛'!M45*9</f>
        <v>2996.4233927925</v>
      </c>
      <c r="N45" s="16">
        <f>'C５级比赛'!N45*9</f>
        <v>2765.92928565462</v>
      </c>
      <c r="O45" s="16">
        <f>'C５级比赛'!O45*9</f>
        <v>2568.36290810786</v>
      </c>
      <c r="P45" s="16">
        <f>'C５级比赛'!P45*9</f>
        <v>2397.138714234</v>
      </c>
      <c r="Q45" s="16">
        <f>'C５级比赛'!Q45*9</f>
        <v>2247.31754459437</v>
      </c>
      <c r="R45" s="16">
        <f>'C５级比赛'!R45*9</f>
        <v>1997.615595195</v>
      </c>
      <c r="S45" s="16">
        <f>'C５级比赛'!S45*9</f>
        <v>1797.8540356755</v>
      </c>
      <c r="T45" s="16">
        <f>'C５级比赛'!T45*9</f>
        <v>1382.96464282731</v>
      </c>
      <c r="U45" s="16">
        <f>'C５级比赛'!U45*9</f>
        <v>1198.569357117</v>
      </c>
      <c r="V45" s="16">
        <f>'C５级比赛'!V45*9</f>
        <v>877.001968622195</v>
      </c>
      <c r="W45" s="16">
        <f>'C５级比赛'!W45*9</f>
        <v>705.040798304118</v>
      </c>
      <c r="X45" s="16">
        <f>'C５级比赛'!X45*9</f>
        <v>589.460339565738</v>
      </c>
      <c r="Y45" s="16">
        <f>'C５级比赛'!Y45*9</f>
        <v>506.43775652831</v>
      </c>
      <c r="Z45" s="16">
        <f>'C５级比赛'!Z45*9</f>
        <v>443.91457671</v>
      </c>
      <c r="AA45" s="16">
        <f>'C５级比赛'!AA45*9</f>
        <v>395.132755093516</v>
      </c>
      <c r="AB45" s="16">
        <f>'C５级比赛'!AB45*9</f>
        <v>359.5708071351</v>
      </c>
      <c r="AC45" s="16">
        <f>'C５级比赛'!AC45*9</f>
        <v>297.16595631</v>
      </c>
      <c r="AD45" s="16">
        <f>'C５级比赛'!AD45*9</f>
        <v>255.014756833404</v>
      </c>
      <c r="AE45" s="16">
        <f>'C５级比赛'!AE45*9</f>
        <v>223.335905052857</v>
      </c>
      <c r="AF45" s="25">
        <f>'C５级比赛'!AF45*9</f>
        <v>198.65790449453</v>
      </c>
      <c r="AG45" s="25">
        <f>'C５级比赛'!AG45*9</f>
        <v>178.890948823433</v>
      </c>
      <c r="AH45" s="25">
        <f>'C５级比赛'!AH45*9</f>
        <v>119.458739911993</v>
      </c>
      <c r="AI45" s="25">
        <f>'C５级比赛'!AI45*9</f>
        <v>89.6685304576309</v>
      </c>
      <c r="AJ45" s="25">
        <f>'C５级比赛'!AJ45*9</f>
        <v>71.7706201866467</v>
      </c>
      <c r="AK45" s="25">
        <f>'C５级比赛'!AK45*9</f>
        <v>47.8789357037417</v>
      </c>
      <c r="AL45" s="25">
        <f>'C５级比赛'!AL45*9</f>
        <v>34.9233495663462</v>
      </c>
      <c r="AM45" s="25">
        <f>'C５级比赛'!AM45*9</f>
        <v>23.2899886181962</v>
      </c>
      <c r="AN45" s="25">
        <f>'C５级比赛'!AN45*9</f>
        <v>17.4704012573276</v>
      </c>
      <c r="AO45" s="25">
        <f>'C５级比赛'!AO45*9</f>
        <v>11.6488746804107</v>
      </c>
      <c r="AP45" s="25">
        <f>'C５级比赛'!AP45*9</f>
        <v>8.73738388300737</v>
      </c>
      <c r="AQ45" s="23"/>
      <c r="AR45" s="23"/>
      <c r="AS45" s="23"/>
      <c r="AT45" s="23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="5" customFormat="1" spans="1:64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4"/>
      <c r="AV46" s="24"/>
      <c r="AW46" s="24"/>
      <c r="AX46" s="24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</row>
    <row r="47" s="5" customFormat="1" spans="1:64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4"/>
      <c r="AV47" s="24"/>
      <c r="AW47" s="24"/>
      <c r="AX47" s="24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</row>
    <row r="48" s="5" customFormat="1" spans="1:64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4"/>
      <c r="AV48" s="24"/>
      <c r="AW48" s="24"/>
      <c r="AX48" s="24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</row>
    <row r="49" s="5" customFormat="1" spans="1:6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4"/>
      <c r="AV49" s="24"/>
      <c r="AW49" s="24"/>
      <c r="AX49" s="24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</row>
    <row r="50" s="5" customFormat="1" spans="1:64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4"/>
      <c r="AV50" s="24"/>
      <c r="AW50" s="24"/>
      <c r="AX50" s="24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A67"/>
  <sheetViews>
    <sheetView topLeftCell="Y21" workbookViewId="0">
      <selection activeCell="AG54" sqref="AG54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89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5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24</v>
      </c>
      <c r="Y3" s="10" t="s">
        <v>25</v>
      </c>
      <c r="Z3" s="10" t="s">
        <v>26</v>
      </c>
      <c r="AA3" s="10" t="s">
        <v>27</v>
      </c>
      <c r="AB3" s="10" t="s">
        <v>28</v>
      </c>
      <c r="AC3" s="10" t="s">
        <v>29</v>
      </c>
      <c r="AD3" s="10" t="s">
        <v>30</v>
      </c>
      <c r="AE3" s="10" t="s">
        <v>31</v>
      </c>
      <c r="AF3" s="10" t="s">
        <v>32</v>
      </c>
      <c r="AG3" s="10" t="s">
        <v>33</v>
      </c>
      <c r="AH3" s="10" t="s">
        <v>34</v>
      </c>
      <c r="AI3" s="10" t="s">
        <v>35</v>
      </c>
      <c r="AJ3" s="10" t="s">
        <v>36</v>
      </c>
      <c r="AK3" s="10" t="s">
        <v>37</v>
      </c>
      <c r="AL3" s="10" t="s">
        <v>38</v>
      </c>
      <c r="AM3" s="10" t="s">
        <v>39</v>
      </c>
      <c r="AN3" s="10" t="s">
        <v>40</v>
      </c>
      <c r="AO3" s="10" t="s">
        <v>41</v>
      </c>
      <c r="AP3" s="10" t="s">
        <v>42</v>
      </c>
      <c r="AQ3" s="40"/>
      <c r="AR3" s="40"/>
      <c r="AS3" s="40"/>
      <c r="AT3" s="40"/>
      <c r="AU3" s="40"/>
      <c r="AV3" s="40"/>
      <c r="AW3" s="40"/>
      <c r="AX3" s="40"/>
    </row>
    <row r="4" s="3" customFormat="1" spans="1:50">
      <c r="A4" s="12">
        <v>2</v>
      </c>
      <c r="B4" s="13">
        <f>'C５级比赛'!B4*5.5</f>
        <v>27.5</v>
      </c>
      <c r="C4" s="38">
        <v>27.5</v>
      </c>
      <c r="D4" s="15">
        <v>13.75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</row>
    <row r="5" spans="1:183">
      <c r="A5" s="17" t="s">
        <v>43</v>
      </c>
      <c r="B5" s="18">
        <f>'C５级比赛'!B5*5.5</f>
        <v>33</v>
      </c>
      <c r="C5" s="18">
        <f>'C５级比赛'!C5*5.5</f>
        <v>23.1</v>
      </c>
      <c r="D5" s="38">
        <f>'C５级比赛'!D5*5.5</f>
        <v>56.1</v>
      </c>
      <c r="E5" s="15">
        <f>'C５级比赛'!E5*5.5</f>
        <v>14.025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4"/>
      <c r="AR5" s="24"/>
      <c r="AS5" s="24"/>
      <c r="AT5" s="24"/>
      <c r="AU5" s="24"/>
      <c r="AV5" s="24"/>
      <c r="AW5" s="24"/>
      <c r="AX5" s="24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</row>
    <row r="6" spans="1:183">
      <c r="A6" s="17" t="s">
        <v>44</v>
      </c>
      <c r="B6" s="18">
        <f>'C５级比赛'!B6*5.5</f>
        <v>38.5</v>
      </c>
      <c r="C6" s="18">
        <f>'C５级比赛'!C6*5.5</f>
        <v>26.95</v>
      </c>
      <c r="D6" s="16">
        <f>'C５级比赛'!D6*5.5</f>
        <v>19.25</v>
      </c>
      <c r="E6" s="38">
        <f>'C５级比赛'!E6*5.5</f>
        <v>84.7</v>
      </c>
      <c r="F6" s="15">
        <f>'C５级比赛'!F6*5.5</f>
        <v>14.1166666666667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8"/>
      <c r="AE6" s="18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4"/>
      <c r="AR6" s="24"/>
      <c r="AS6" s="24"/>
      <c r="AT6" s="24"/>
      <c r="AU6" s="24"/>
      <c r="AV6" s="24"/>
      <c r="AW6" s="24"/>
      <c r="AX6" s="24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</row>
    <row r="7" spans="1:183">
      <c r="A7" s="17" t="s">
        <v>45</v>
      </c>
      <c r="B7" s="18">
        <f>'C５级比赛'!B7*5.5</f>
        <v>46.75</v>
      </c>
      <c r="C7" s="18">
        <f>'C５级比赛'!C7*5.5</f>
        <v>32.725</v>
      </c>
      <c r="D7" s="16">
        <f>'C５级比赛'!D7*5.5</f>
        <v>23.375</v>
      </c>
      <c r="E7" s="16">
        <f>'C５级比赛'!E7*5.5</f>
        <v>16.3625</v>
      </c>
      <c r="F7" s="38">
        <f>'C５级比赛'!F7*5.5</f>
        <v>119.2125</v>
      </c>
      <c r="G7" s="15">
        <f>'C５级比赛'!G7*5.5</f>
        <v>14.9015625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8"/>
      <c r="AE7" s="18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</row>
    <row r="8" s="3" customFormat="1" spans="1:50">
      <c r="A8" s="19" t="s">
        <v>46</v>
      </c>
      <c r="B8" s="13">
        <f>'C５级比赛'!B8*5.5</f>
        <v>55</v>
      </c>
      <c r="C8" s="13">
        <f>'C５级比赛'!C8*5.5</f>
        <v>38.5</v>
      </c>
      <c r="D8" s="13">
        <f>'C５级比赛'!D8*5.5</f>
        <v>27.5</v>
      </c>
      <c r="E8" s="13">
        <f>'C５级比赛'!E8*5.5</f>
        <v>19.25</v>
      </c>
      <c r="F8" s="13">
        <f>'C５级比赛'!F8*5.5</f>
        <v>11</v>
      </c>
      <c r="G8" s="38">
        <f>'C５级比赛'!G8*5.5</f>
        <v>151.25</v>
      </c>
      <c r="H8" s="15">
        <f>'C５级比赛'!H8*5.5</f>
        <v>15.125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</row>
    <row r="9" spans="1:183">
      <c r="A9" s="17" t="s">
        <v>47</v>
      </c>
      <c r="B9" s="18">
        <f>'C５级比赛'!B9*5.5</f>
        <v>66</v>
      </c>
      <c r="C9" s="18">
        <f>'C５级比赛'!C9*5.5</f>
        <v>46.2</v>
      </c>
      <c r="D9" s="16">
        <f>'C５级比赛'!D9*5.5</f>
        <v>33</v>
      </c>
      <c r="E9" s="16">
        <f>'C５级比赛'!E9*5.5</f>
        <v>23.1</v>
      </c>
      <c r="F9" s="16">
        <f>'C５级比赛'!F9*5.5</f>
        <v>13.2</v>
      </c>
      <c r="G9" s="16">
        <f>'C５级比赛'!G9*5.5</f>
        <v>11</v>
      </c>
      <c r="H9" s="38">
        <f>'C５级比赛'!H9*5.5</f>
        <v>192.5</v>
      </c>
      <c r="I9" s="15">
        <f>'C５级比赛'!I9*5.5</f>
        <v>16.0416666666667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8"/>
      <c r="AE9" s="18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</row>
    <row r="10" spans="1:183">
      <c r="A10" s="20" t="s">
        <v>48</v>
      </c>
      <c r="B10" s="18">
        <f>'C５级比赛'!B10*5.5</f>
        <v>74.25</v>
      </c>
      <c r="C10" s="18">
        <f>'C５级比赛'!C10*5.5</f>
        <v>51.975</v>
      </c>
      <c r="D10" s="16">
        <f>'C５级比赛'!D10*5.5</f>
        <v>37.125</v>
      </c>
      <c r="E10" s="16">
        <f>'C５级比赛'!E10*5.5</f>
        <v>25.9875</v>
      </c>
      <c r="F10" s="16">
        <f>'C５级比赛'!F10*5.5</f>
        <v>14.85</v>
      </c>
      <c r="G10" s="16">
        <f>'C５级比赛'!G10*5.5</f>
        <v>12.375</v>
      </c>
      <c r="H10" s="16">
        <f>'C５级比赛'!H10*5.5</f>
        <v>10.6071428571429</v>
      </c>
      <c r="I10" s="38">
        <f>'C５级比赛'!I10*5.5</f>
        <v>227.169642857143</v>
      </c>
      <c r="J10" s="15">
        <f>'C５级比赛'!J10*5.5</f>
        <v>16.2264030612245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8"/>
      <c r="AE10" s="18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</row>
    <row r="11" spans="1:183">
      <c r="A11" s="20" t="s">
        <v>49</v>
      </c>
      <c r="B11" s="18">
        <f>'C５级比赛'!B11*5.5</f>
        <v>85.25</v>
      </c>
      <c r="C11" s="18">
        <f>'C５级比赛'!C11*5.5</f>
        <v>59.675</v>
      </c>
      <c r="D11" s="16">
        <f>'C５级比赛'!D11*5.5</f>
        <v>42.625</v>
      </c>
      <c r="E11" s="16">
        <f>'C５级比赛'!E11*5.5</f>
        <v>29.8375</v>
      </c>
      <c r="F11" s="16">
        <f>'C５级比赛'!F11*5.5</f>
        <v>17.05</v>
      </c>
      <c r="G11" s="16">
        <f>'C５级比赛'!G11*5.5</f>
        <v>14.2083333333333</v>
      </c>
      <c r="H11" s="16">
        <f>'C５级比赛'!H11*5.5</f>
        <v>12.1785714285714</v>
      </c>
      <c r="I11" s="16">
        <f>'C５级比赛'!I11*5.5</f>
        <v>10.65625</v>
      </c>
      <c r="J11" s="38">
        <f>'C５级比赛'!J11*5.5</f>
        <v>271.480654761905</v>
      </c>
      <c r="K11" s="15">
        <f>'C５级比赛'!K11*5.5</f>
        <v>16.967540922619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8"/>
      <c r="AE11" s="18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</row>
    <row r="12" spans="1:183">
      <c r="A12" s="20" t="s">
        <v>50</v>
      </c>
      <c r="B12" s="18">
        <f>'C５级比赛'!B12*5.5</f>
        <v>93.5</v>
      </c>
      <c r="C12" s="18">
        <f>'C５级比赛'!C12*5.5</f>
        <v>65.45</v>
      </c>
      <c r="D12" s="16">
        <f>'C５级比赛'!D12*5.5</f>
        <v>46.75</v>
      </c>
      <c r="E12" s="16">
        <f>'C５级比赛'!E12*5.5</f>
        <v>32.725</v>
      </c>
      <c r="F12" s="16">
        <f>'C５级比赛'!F12*5.5</f>
        <v>18.7</v>
      </c>
      <c r="G12" s="16">
        <f>'C５级比赛'!G12*5.5</f>
        <v>15.5833333333333</v>
      </c>
      <c r="H12" s="16">
        <f>'C５级比赛'!H12*5.5</f>
        <v>13.3571428571429</v>
      </c>
      <c r="I12" s="16">
        <f>'C５级比赛'!I12*5.5</f>
        <v>11.6875</v>
      </c>
      <c r="J12" s="16">
        <f>'C５级比赛'!J12*5.5</f>
        <v>10.3888888888889</v>
      </c>
      <c r="K12" s="38">
        <f>'C５级比赛'!K12*5.5</f>
        <v>308.141865079365</v>
      </c>
      <c r="L12" s="15">
        <f>'C５级比赛'!L12*5.5</f>
        <v>17.1189925044092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8"/>
      <c r="AE12" s="18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</row>
    <row r="13" s="3" customFormat="1" spans="1:50">
      <c r="A13" s="21" t="s">
        <v>51</v>
      </c>
      <c r="B13" s="18">
        <f>'C５级比赛'!B13*5.5</f>
        <v>101.75</v>
      </c>
      <c r="C13" s="18">
        <f>'C５级比赛'!C13*5.5</f>
        <v>71.225</v>
      </c>
      <c r="D13" s="16">
        <f>'C５级比赛'!D13*5.5</f>
        <v>50.875</v>
      </c>
      <c r="E13" s="16">
        <f>'C５级比赛'!E13*5.5</f>
        <v>35.6125</v>
      </c>
      <c r="F13" s="16">
        <f>'C５级比赛'!F13*5.5</f>
        <v>20.35</v>
      </c>
      <c r="G13" s="16">
        <f>'C５级比赛'!G13*5.5</f>
        <v>16.9583333333333</v>
      </c>
      <c r="H13" s="16">
        <f>'C５级比赛'!H13*5.5</f>
        <v>14.5357142857143</v>
      </c>
      <c r="I13" s="16">
        <f>'C５级比赛'!I13*5.5</f>
        <v>12.71875</v>
      </c>
      <c r="J13" s="16">
        <f>'C５级比赛'!J13*5.5</f>
        <v>11.3055555555556</v>
      </c>
      <c r="K13" s="16">
        <f>'C５级比赛'!K13*5.5</f>
        <v>10.175</v>
      </c>
      <c r="L13" s="38">
        <f>'C５级比赛'!L13*5.5</f>
        <v>345.505853174603</v>
      </c>
      <c r="M13" s="15">
        <f>'C５级比赛'!M13*5.5</f>
        <v>17.2752926587302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83">
      <c r="A14" s="20" t="s">
        <v>52</v>
      </c>
      <c r="B14" s="18">
        <f>'C５级比赛'!B14*5.5</f>
        <v>110</v>
      </c>
      <c r="C14" s="18">
        <f>'C５级比赛'!C14*5.5</f>
        <v>77</v>
      </c>
      <c r="D14" s="16">
        <f>'C５级比赛'!D14*5.5</f>
        <v>55</v>
      </c>
      <c r="E14" s="16">
        <f>'C５级比赛'!E14*5.5</f>
        <v>38.5</v>
      </c>
      <c r="F14" s="16">
        <f>'C５级比赛'!F14*5.5</f>
        <v>22</v>
      </c>
      <c r="G14" s="16">
        <f>'C５级比赛'!G14*5.5</f>
        <v>18.3333333333333</v>
      </c>
      <c r="H14" s="16">
        <f>'C５级比赛'!H14*5.5</f>
        <v>15.7142857142857</v>
      </c>
      <c r="I14" s="16">
        <f>'C５级比赛'!I14*5.5</f>
        <v>13.75</v>
      </c>
      <c r="J14" s="16">
        <f>'C５级比赛'!J14*5.5</f>
        <v>12.2222222222222</v>
      </c>
      <c r="K14" s="16">
        <f>'C５级比赛'!K14*5.5</f>
        <v>11</v>
      </c>
      <c r="L14" s="16">
        <f>'C５级比赛'!L14*5.5</f>
        <v>10</v>
      </c>
      <c r="M14" s="38">
        <f>'C５级比赛'!M14*5.5</f>
        <v>383.519841269841</v>
      </c>
      <c r="N14" s="15">
        <f>'C５级比赛'!N14*5.5</f>
        <v>17.4327200577201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8"/>
      <c r="AE14" s="18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</row>
    <row r="15" spans="1:183">
      <c r="A15" s="20" t="s">
        <v>53</v>
      </c>
      <c r="B15" s="18">
        <f>'C５级比赛'!B15*5.5</f>
        <v>118.25</v>
      </c>
      <c r="C15" s="18">
        <f>'C５级比赛'!C15*5.5</f>
        <v>82.775</v>
      </c>
      <c r="D15" s="16">
        <f>'C５级比赛'!D15*5.5</f>
        <v>59.125</v>
      </c>
      <c r="E15" s="16">
        <f>'C５级比赛'!E15*5.5</f>
        <v>41.3875</v>
      </c>
      <c r="F15" s="16">
        <f>'C５级比赛'!F15*5.5</f>
        <v>23.65</v>
      </c>
      <c r="G15" s="16">
        <f>'C５级比赛'!G15*5.5</f>
        <v>19.7083333333333</v>
      </c>
      <c r="H15" s="16">
        <f>'C５级比赛'!H15*5.5</f>
        <v>16.8928571428571</v>
      </c>
      <c r="I15" s="16">
        <f>'C５级比赛'!I15*5.5</f>
        <v>14.78125</v>
      </c>
      <c r="J15" s="16">
        <f>'C５级比赛'!J15*5.5</f>
        <v>13.1388888888889</v>
      </c>
      <c r="K15" s="16">
        <f>'C５级比赛'!K15*5.5</f>
        <v>11.825</v>
      </c>
      <c r="L15" s="16">
        <f>'C５级比赛'!L15*5.5</f>
        <v>10.75</v>
      </c>
      <c r="M15" s="16">
        <f>'C５级比赛'!M15*5.5</f>
        <v>9.85416666666667</v>
      </c>
      <c r="N15" s="38">
        <f>'C５级比赛'!N15*5.5</f>
        <v>422.137996031746</v>
      </c>
      <c r="O15" s="15">
        <f>'C５级比赛'!O15*5.5</f>
        <v>17.5890831679894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8"/>
      <c r="AE15" s="18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</row>
    <row r="16" spans="1:183">
      <c r="A16" s="20" t="s">
        <v>54</v>
      </c>
      <c r="B16" s="18">
        <f>'C５级比赛'!B16*5.5</f>
        <v>125.4</v>
      </c>
      <c r="C16" s="18">
        <f>'C５级比赛'!C16*5.5</f>
        <v>87.78</v>
      </c>
      <c r="D16" s="16">
        <f>'C５级比赛'!D16*5.5</f>
        <v>62.7</v>
      </c>
      <c r="E16" s="16">
        <f>'C５级比赛'!E16*5.5</f>
        <v>43.89</v>
      </c>
      <c r="F16" s="16">
        <f>'C５级比赛'!F16*5.5</f>
        <v>25.08</v>
      </c>
      <c r="G16" s="16">
        <f>'C５级比赛'!G16*5.5</f>
        <v>20.9</v>
      </c>
      <c r="H16" s="16">
        <f>'C５级比赛'!H16*5.5</f>
        <v>17.9142857142857</v>
      </c>
      <c r="I16" s="16">
        <f>'C５级比赛'!I16*5.5</f>
        <v>15.675</v>
      </c>
      <c r="J16" s="16">
        <f>'C５级比赛'!J16*5.5</f>
        <v>13.9333333333333</v>
      </c>
      <c r="K16" s="16">
        <f>'C５级比赛'!K16*5.5</f>
        <v>12.54</v>
      </c>
      <c r="L16" s="16">
        <f>'C５级比赛'!L16*5.5</f>
        <v>11.4</v>
      </c>
      <c r="M16" s="16">
        <f>'C５级比赛'!M16*5.5</f>
        <v>10.45</v>
      </c>
      <c r="N16" s="16">
        <f>'C５级比赛'!N16*5.5</f>
        <v>9.64615384615385</v>
      </c>
      <c r="O16" s="38">
        <f>'C５级比赛'!O16*5.5</f>
        <v>457.308772893773</v>
      </c>
      <c r="P16" s="15">
        <f>'C５级比赛'!P16*5.5</f>
        <v>17.5887989574528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8"/>
      <c r="AE16" s="18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</row>
    <row r="17" spans="1:183">
      <c r="A17" s="20" t="s">
        <v>55</v>
      </c>
      <c r="B17" s="18">
        <f>'C５级比赛'!B17*5.5</f>
        <v>134.2</v>
      </c>
      <c r="C17" s="18">
        <f>'C５级比赛'!C17*5.5</f>
        <v>93.94</v>
      </c>
      <c r="D17" s="16">
        <f>'C５级比赛'!D17*5.5</f>
        <v>67.1</v>
      </c>
      <c r="E17" s="16">
        <f>'C５级比赛'!E17*5.5</f>
        <v>46.97</v>
      </c>
      <c r="F17" s="16">
        <f>'C５级比赛'!F17*5.5</f>
        <v>26.84</v>
      </c>
      <c r="G17" s="16">
        <f>'C５级比赛'!G17*5.5</f>
        <v>22.3666666666667</v>
      </c>
      <c r="H17" s="16">
        <f>'C５级比赛'!H17*5.5</f>
        <v>19.1714285714286</v>
      </c>
      <c r="I17" s="16">
        <f>'C５级比赛'!I17*5.5</f>
        <v>16.775</v>
      </c>
      <c r="J17" s="16">
        <f>'C５级比赛'!J17*5.5</f>
        <v>14.9111111111111</v>
      </c>
      <c r="K17" s="16">
        <f>'C５级比赛'!K17*5.5</f>
        <v>13.42</v>
      </c>
      <c r="L17" s="16">
        <f>'C５级比赛'!L17*5.5</f>
        <v>12.2</v>
      </c>
      <c r="M17" s="16">
        <f>'C５级比赛'!M17*5.5</f>
        <v>11.1833333333333</v>
      </c>
      <c r="N17" s="16">
        <f>'C５级比赛'!N17*5.5</f>
        <v>10.3230769230769</v>
      </c>
      <c r="O17" s="16">
        <f>'C５级比赛'!O17*5.5</f>
        <v>9.58571428571429</v>
      </c>
      <c r="P17" s="38">
        <f>'C５级比赛'!P17*5.5</f>
        <v>498.986330891331</v>
      </c>
      <c r="Q17" s="15">
        <f>'C５级比赛'!Q17*5.5</f>
        <v>17.8209403889761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8"/>
      <c r="AE17" s="18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</row>
    <row r="18" spans="1:183">
      <c r="A18" s="20" t="s">
        <v>56</v>
      </c>
      <c r="B18" s="18">
        <f>'C５级比赛'!B18*5.5</f>
        <v>143</v>
      </c>
      <c r="C18" s="18">
        <f>'C５级比赛'!C18*5.5</f>
        <v>100.1</v>
      </c>
      <c r="D18" s="16">
        <f>'C５级比赛'!D18*5.5</f>
        <v>71.5</v>
      </c>
      <c r="E18" s="16">
        <f>'C５级比赛'!E18*5.5</f>
        <v>50.05</v>
      </c>
      <c r="F18" s="16">
        <f>'C５级比赛'!F18*5.5</f>
        <v>28.6</v>
      </c>
      <c r="G18" s="16">
        <f>'C５级比赛'!G18*5.5</f>
        <v>23.8333333333333</v>
      </c>
      <c r="H18" s="16">
        <f>'C５级比赛'!H18*5.5</f>
        <v>20.4285714285714</v>
      </c>
      <c r="I18" s="16">
        <f>'C５级比赛'!I18*5.5</f>
        <v>17.875</v>
      </c>
      <c r="J18" s="16">
        <f>'C５级比赛'!J18*5.5</f>
        <v>15.8888888888889</v>
      </c>
      <c r="K18" s="16">
        <f>'C５级比赛'!K18*5.5</f>
        <v>14.3</v>
      </c>
      <c r="L18" s="16">
        <f>'C５级比赛'!L18*5.5</f>
        <v>13</v>
      </c>
      <c r="M18" s="16">
        <f>'C５级比赛'!M18*5.5</f>
        <v>11.9166666666667</v>
      </c>
      <c r="N18" s="16">
        <f>'C５级比赛'!N18*5.5</f>
        <v>11</v>
      </c>
      <c r="O18" s="16">
        <f>'C５级比赛'!O18*5.5</f>
        <v>10.2142857142857</v>
      </c>
      <c r="P18" s="16">
        <f>'C５级比赛'!P18*5.5</f>
        <v>9.53333333333333</v>
      </c>
      <c r="Q18" s="38">
        <f>'C５级比赛'!Q18*5.5</f>
        <v>541.240079365079</v>
      </c>
      <c r="R18" s="15">
        <f>'C５级比赛'!R18*5.5</f>
        <v>18.041335978836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8"/>
      <c r="AE18" s="18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</row>
    <row r="19" spans="1:183">
      <c r="A19" s="20" t="s">
        <v>57</v>
      </c>
      <c r="B19" s="18">
        <f>'C５级比赛'!B19*5.5</f>
        <v>162.25</v>
      </c>
      <c r="C19" s="18">
        <f>'C５级比赛'!C19*5.5</f>
        <v>113.575</v>
      </c>
      <c r="D19" s="16">
        <f>'C５级比赛'!D19*5.5</f>
        <v>81.125</v>
      </c>
      <c r="E19" s="16">
        <f>'C５级比赛'!E19*5.5</f>
        <v>56.7875</v>
      </c>
      <c r="F19" s="16">
        <f>'C５级比赛'!F19*5.5</f>
        <v>32.45</v>
      </c>
      <c r="G19" s="16">
        <f>'C５级比赛'!G19*5.5</f>
        <v>27.0416666666667</v>
      </c>
      <c r="H19" s="16">
        <f>'C５级比赛'!H19*5.5</f>
        <v>23.1785714285714</v>
      </c>
      <c r="I19" s="16">
        <f>'C５级比赛'!I19*5.5</f>
        <v>20.28125</v>
      </c>
      <c r="J19" s="16">
        <f>'C５级比赛'!J19*5.5</f>
        <v>18.0277777777778</v>
      </c>
      <c r="K19" s="16">
        <f>'C５级比赛'!K19*5.5</f>
        <v>16.225</v>
      </c>
      <c r="L19" s="16">
        <f>'C５级比赛'!L19*5.5</f>
        <v>14.75</v>
      </c>
      <c r="M19" s="16">
        <f>'C５级比赛'!M19*5.5</f>
        <v>13.5208333333333</v>
      </c>
      <c r="N19" s="16">
        <f>'C５级比赛'!N19*5.5</f>
        <v>12.4807692307692</v>
      </c>
      <c r="O19" s="16">
        <f>'C５级比赛'!O19*5.5</f>
        <v>11.5892857142857</v>
      </c>
      <c r="P19" s="16">
        <f>'C５级比赛'!P19*5.5</f>
        <v>10.8166666666667</v>
      </c>
      <c r="Q19" s="16">
        <f>'C５级比赛'!Q19*5.5</f>
        <v>10.140625</v>
      </c>
      <c r="R19" s="38">
        <f>'C５级比赛'!R19*5.5</f>
        <v>634.380570818071</v>
      </c>
      <c r="S19" s="15">
        <f>'C５级比赛'!S19*5.5</f>
        <v>18.1251591662306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8"/>
      <c r="AE19" s="18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</row>
    <row r="20" spans="1:183">
      <c r="A20" s="20" t="s">
        <v>58</v>
      </c>
      <c r="B20" s="18">
        <f>'C５级比赛'!B20*5.5</f>
        <v>184.25</v>
      </c>
      <c r="C20" s="18">
        <f>'C５级比赛'!C20*5.5</f>
        <v>128.975</v>
      </c>
      <c r="D20" s="16">
        <f>'C５级比赛'!D20*5.5</f>
        <v>92.125</v>
      </c>
      <c r="E20" s="16">
        <f>'C５级比赛'!E20*5.5</f>
        <v>64.4875</v>
      </c>
      <c r="F20" s="16">
        <f>'C５级比赛'!F20*5.5</f>
        <v>36.85</v>
      </c>
      <c r="G20" s="16">
        <f>'C５级比赛'!G20*5.5</f>
        <v>30.7083333333333</v>
      </c>
      <c r="H20" s="16">
        <f>'C５级比赛'!H20*5.5</f>
        <v>26.3214285714286</v>
      </c>
      <c r="I20" s="16">
        <f>'C５级比赛'!I20*5.5</f>
        <v>23.03125</v>
      </c>
      <c r="J20" s="16">
        <f>'C５级比赛'!J20*5.5</f>
        <v>20.4722222222222</v>
      </c>
      <c r="K20" s="16">
        <f>'C５级比赛'!K20*5.5</f>
        <v>18.425</v>
      </c>
      <c r="L20" s="16">
        <f>'C５级比赛'!L20*5.5</f>
        <v>16.75</v>
      </c>
      <c r="M20" s="16">
        <f>'C５级比赛'!M20*5.5</f>
        <v>15.3541666666667</v>
      </c>
      <c r="N20" s="16">
        <f>'C５级比赛'!N20*5.5</f>
        <v>14.1730769230769</v>
      </c>
      <c r="O20" s="16">
        <f>'C５级比赛'!O20*5.5</f>
        <v>13.1607142857143</v>
      </c>
      <c r="P20" s="16">
        <f>'C５级比赛'!P20*5.5</f>
        <v>12.2833333333333</v>
      </c>
      <c r="Q20" s="16">
        <f>'C５级比赛'!Q20*5.5</f>
        <v>11.515625</v>
      </c>
      <c r="R20" s="16">
        <f>'C５级比赛'!R20*5.5</f>
        <v>10.2361111111111</v>
      </c>
      <c r="S20" s="38">
        <f>'C５级比赛'!S20*5.5</f>
        <v>751.106608669109</v>
      </c>
      <c r="T20" s="15">
        <f>'C５级比赛'!T20*5.5</f>
        <v>18.3196733821734</v>
      </c>
      <c r="U20" s="16"/>
      <c r="V20" s="16"/>
      <c r="W20" s="18"/>
      <c r="X20" s="18"/>
      <c r="Y20" s="18"/>
      <c r="Z20" s="18"/>
      <c r="AA20" s="18"/>
      <c r="AB20" s="18"/>
      <c r="AC20" s="18"/>
      <c r="AD20" s="18"/>
      <c r="AE20" s="18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</row>
    <row r="21" spans="1:183">
      <c r="A21" s="20" t="s">
        <v>59</v>
      </c>
      <c r="B21" s="18">
        <f>'C５级比赛'!B21*5.5</f>
        <v>216.15</v>
      </c>
      <c r="C21" s="18">
        <f>'C５级比赛'!C21*5.5</f>
        <v>151.8</v>
      </c>
      <c r="D21" s="16">
        <f>'C５级比赛'!D21*5.5</f>
        <v>108.075</v>
      </c>
      <c r="E21" s="16">
        <f>'C５级比赛'!E21*5.5</f>
        <v>75.6525</v>
      </c>
      <c r="F21" s="16">
        <f>'C５级比赛'!F21*5.5</f>
        <v>43.23</v>
      </c>
      <c r="G21" s="16">
        <f>'C５级比赛'!G21*5.5</f>
        <v>36.025</v>
      </c>
      <c r="H21" s="16">
        <f>'C５级比赛'!H21*5.5</f>
        <v>30.8785714285714</v>
      </c>
      <c r="I21" s="16">
        <f>'C５级比赛'!I21*5.5</f>
        <v>27.01875</v>
      </c>
      <c r="J21" s="16">
        <f>'C５级比赛'!J21*5.5</f>
        <v>24.0166666666667</v>
      </c>
      <c r="K21" s="16">
        <f>'C５级比赛'!K21*5.5</f>
        <v>21.615</v>
      </c>
      <c r="L21" s="16">
        <f>'C５级比赛'!L21*5.5</f>
        <v>19.65</v>
      </c>
      <c r="M21" s="16">
        <f>'C５级比赛'!M21*5.5</f>
        <v>18.0125</v>
      </c>
      <c r="N21" s="16">
        <f>'C５级比赛'!N21*5.5</f>
        <v>16.6269230769231</v>
      </c>
      <c r="O21" s="16">
        <f>'C５级比赛'!O21*5.5</f>
        <v>15.4392857142857</v>
      </c>
      <c r="P21" s="16">
        <f>'C５级比赛'!P21*5.5</f>
        <v>14.41</v>
      </c>
      <c r="Q21" s="16">
        <f>'C５级比赛'!Q21*5.5</f>
        <v>13.509375</v>
      </c>
      <c r="R21" s="16">
        <f>'C５级比赛'!R21*5.5</f>
        <v>12.0083333333333</v>
      </c>
      <c r="S21" s="16">
        <f>'C５级比赛'!S21*5.5</f>
        <v>10.8075</v>
      </c>
      <c r="T21" s="38">
        <f>'C５级比赛'!T21*5.5</f>
        <v>935.681446886447</v>
      </c>
      <c r="U21" s="15">
        <f>'C５级比赛'!U21*5.5</f>
        <v>18.3466950369892</v>
      </c>
      <c r="V21" s="16"/>
      <c r="W21" s="18"/>
      <c r="X21" s="18"/>
      <c r="Y21" s="18"/>
      <c r="Z21" s="18"/>
      <c r="AA21" s="18"/>
      <c r="AB21" s="18"/>
      <c r="AC21" s="18"/>
      <c r="AD21" s="18"/>
      <c r="AE21" s="18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</row>
    <row r="22" spans="1:183">
      <c r="A22" s="17" t="s">
        <v>60</v>
      </c>
      <c r="B22" s="18">
        <f>'C５级比赛'!B22*5.5</f>
        <v>248.6</v>
      </c>
      <c r="C22" s="18">
        <f>'C５级比赛'!C22*5.5</f>
        <v>174.02</v>
      </c>
      <c r="D22" s="16">
        <f>'C５级比赛'!D22*5.5</f>
        <v>124.3</v>
      </c>
      <c r="E22" s="16">
        <f>'C５级比赛'!E22*5.5</f>
        <v>87.01</v>
      </c>
      <c r="F22" s="16">
        <f>'C５级比赛'!F22*5.5</f>
        <v>49.72</v>
      </c>
      <c r="G22" s="16">
        <f>'C５级比赛'!G22*5.5</f>
        <v>41.4333333333333</v>
      </c>
      <c r="H22" s="16">
        <f>'C５级比赛'!H22*5.5</f>
        <v>35.5142857142857</v>
      </c>
      <c r="I22" s="16">
        <f>'C５级比赛'!I22*5.5</f>
        <v>31.075</v>
      </c>
      <c r="J22" s="16">
        <f>'C５级比赛'!J22*5.5</f>
        <v>27.6222222222222</v>
      </c>
      <c r="K22" s="16">
        <f>'C５级比赛'!K22*5.5</f>
        <v>24.86</v>
      </c>
      <c r="L22" s="16">
        <f>'C５级比赛'!L22*5.5</f>
        <v>22.6</v>
      </c>
      <c r="M22" s="16">
        <f>'C５级比赛'!M22*5.5</f>
        <v>20.7166666666667</v>
      </c>
      <c r="N22" s="16">
        <f>'C５级比赛'!N22*5.5</f>
        <v>19.1230769230769</v>
      </c>
      <c r="O22" s="16">
        <f>'C５级比赛'!O22*5.5</f>
        <v>17.7571428571429</v>
      </c>
      <c r="P22" s="16">
        <f>'C５级比赛'!P22*5.5</f>
        <v>16.5733333333333</v>
      </c>
      <c r="Q22" s="16">
        <f>'C５级比赛'!Q22*5.5</f>
        <v>15.5375</v>
      </c>
      <c r="R22" s="16">
        <f>'C５级比赛'!R22*5.5</f>
        <v>13.8111111111111</v>
      </c>
      <c r="S22" s="16">
        <f>'C５级比赛'!S22*5.5</f>
        <v>12.43</v>
      </c>
      <c r="T22" s="16">
        <f>'C５级比赛'!T22*5.5</f>
        <v>9.56153846153846</v>
      </c>
      <c r="U22" s="38">
        <f>'C５级比赛'!U22*5.5</f>
        <v>1123.39108669109</v>
      </c>
      <c r="V22" s="15">
        <f>'C５级比赛'!V22*5.5</f>
        <v>18.4162473228047</v>
      </c>
      <c r="W22" s="18"/>
      <c r="X22" s="18"/>
      <c r="Y22" s="18"/>
      <c r="Z22" s="18"/>
      <c r="AA22" s="18"/>
      <c r="AB22" s="18"/>
      <c r="AC22" s="18"/>
      <c r="AD22" s="18"/>
      <c r="AE22" s="18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</row>
    <row r="23" spans="1:183">
      <c r="A23" s="17" t="s">
        <v>61</v>
      </c>
      <c r="B23" s="18">
        <f>'C５级比赛'!B23*5.5</f>
        <v>308</v>
      </c>
      <c r="C23" s="18">
        <f>'C５级比赛'!C23*5.5</f>
        <v>215.6</v>
      </c>
      <c r="D23" s="16">
        <f>'C５级比赛'!D23*5.5</f>
        <v>154</v>
      </c>
      <c r="E23" s="16">
        <f>'C５级比赛'!E23*5.5</f>
        <v>107.8</v>
      </c>
      <c r="F23" s="16">
        <f>'C５级比赛'!F23*5.5</f>
        <v>61.6</v>
      </c>
      <c r="G23" s="16">
        <f>'C５级比赛'!G23*5.5</f>
        <v>51.3333333333333</v>
      </c>
      <c r="H23" s="16">
        <f>'C５级比赛'!H23*5.5</f>
        <v>44</v>
      </c>
      <c r="I23" s="16">
        <f>'C５级比赛'!I23*5.5</f>
        <v>38.5</v>
      </c>
      <c r="J23" s="16">
        <f>'C５级比赛'!J23*5.5</f>
        <v>34.2222222222222</v>
      </c>
      <c r="K23" s="16">
        <f>'C５级比赛'!K23*5.5</f>
        <v>30.8</v>
      </c>
      <c r="L23" s="16">
        <f>'C５级比赛'!L23*5.5</f>
        <v>28</v>
      </c>
      <c r="M23" s="16">
        <f>'C５级比赛'!M23*5.5</f>
        <v>25.6666666666667</v>
      </c>
      <c r="N23" s="16">
        <f>'C５级比赛'!N23*5.5</f>
        <v>23.6923076923077</v>
      </c>
      <c r="O23" s="16">
        <f>'C５级比赛'!O23*5.5</f>
        <v>22</v>
      </c>
      <c r="P23" s="16">
        <f>'C５级比赛'!P23*5.5</f>
        <v>20.5333333333333</v>
      </c>
      <c r="Q23" s="16">
        <f>'C５级比赛'!Q23*5.5</f>
        <v>19.25</v>
      </c>
      <c r="R23" s="16">
        <f>'C５级比赛'!R23*5.5</f>
        <v>17.1111111111111</v>
      </c>
      <c r="S23" s="16">
        <f>'C５级比赛'!S23*5.5</f>
        <v>15.4</v>
      </c>
      <c r="T23" s="16">
        <f>'C５级比赛'!T23*5.5</f>
        <v>11.8461538461538</v>
      </c>
      <c r="U23" s="16">
        <f>'C５级比赛'!U23*5.5</f>
        <v>10.2666666666667</v>
      </c>
      <c r="V23" s="38">
        <f>'C５级比赛'!V23*5.5</f>
        <v>1494.47863247863</v>
      </c>
      <c r="W23" s="15">
        <f>'C５级比赛'!W23*5.5</f>
        <v>18.4503534873905</v>
      </c>
      <c r="X23" s="18"/>
      <c r="Y23" s="18"/>
      <c r="Z23" s="18"/>
      <c r="AA23" s="18"/>
      <c r="AB23" s="18"/>
      <c r="AC23" s="18"/>
      <c r="AD23" s="18"/>
      <c r="AE23" s="18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</row>
    <row r="24" s="37" customFormat="1" spans="1:183">
      <c r="A24" s="19" t="s">
        <v>62</v>
      </c>
      <c r="B24" s="13">
        <f>'C５级比赛'!B24*5.5</f>
        <v>379.5</v>
      </c>
      <c r="C24" s="13">
        <f>'C５级比赛'!C24*5.5</f>
        <v>265.65</v>
      </c>
      <c r="D24" s="13">
        <f>'C５级比赛'!D24*5.5</f>
        <v>189.75</v>
      </c>
      <c r="E24" s="13">
        <f>'C５级比赛'!E24*5.5</f>
        <v>132.825</v>
      </c>
      <c r="F24" s="13">
        <f>'C５级比赛'!F24*5.5</f>
        <v>75.9</v>
      </c>
      <c r="G24" s="13">
        <f>'C５级比赛'!G24*5.5</f>
        <v>63.25</v>
      </c>
      <c r="H24" s="13">
        <f>'C５级比赛'!H24*5.5</f>
        <v>54.2142857142857</v>
      </c>
      <c r="I24" s="13">
        <f>'C５级比赛'!I24*5.5</f>
        <v>47.4375</v>
      </c>
      <c r="J24" s="13">
        <f>'C５级比赛'!J24*5.5</f>
        <v>42.1666666666667</v>
      </c>
      <c r="K24" s="13">
        <f>'C５级比赛'!K24*5.5</f>
        <v>37.95</v>
      </c>
      <c r="L24" s="13">
        <f>'C５级比赛'!L24*5.5</f>
        <v>34.5</v>
      </c>
      <c r="M24" s="13">
        <f>'C５级比赛'!M24*5.5</f>
        <v>31.625</v>
      </c>
      <c r="N24" s="13">
        <f>'C５级比赛'!N24*5.5</f>
        <v>29.1923076923077</v>
      </c>
      <c r="O24" s="13">
        <f>'C５级比赛'!O24*5.5</f>
        <v>27.1071428571429</v>
      </c>
      <c r="P24" s="13">
        <f>'C５级比赛'!P24*5.5</f>
        <v>25.3</v>
      </c>
      <c r="Q24" s="13">
        <f>'C５级比赛'!Q24*5.5</f>
        <v>23.71875</v>
      </c>
      <c r="R24" s="13">
        <f>'C５级比赛'!R24*5.5</f>
        <v>21.0833333333333</v>
      </c>
      <c r="S24" s="13">
        <f>'C５级比赛'!S24*5.5</f>
        <v>18.975</v>
      </c>
      <c r="T24" s="13">
        <f>'C５级比赛'!T24*5.5</f>
        <v>14.5961538461538</v>
      </c>
      <c r="U24" s="13">
        <f>'C５级比赛'!U24*5.5</f>
        <v>12.65</v>
      </c>
      <c r="V24" s="13">
        <f>'C５级比赛'!V24*5.5</f>
        <v>9.25609756097561</v>
      </c>
      <c r="W24" s="38">
        <f>'C５级比赛'!W24*5.5</f>
        <v>1933.97214777093</v>
      </c>
      <c r="X24" s="15">
        <f>'C５级比赛'!X24*5.5</f>
        <v>19.1482390868409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31"/>
      <c r="AR24" s="31"/>
      <c r="AS24" s="31"/>
      <c r="AT24" s="31"/>
      <c r="AU24" s="31"/>
      <c r="AV24" s="31"/>
      <c r="AW24" s="31"/>
      <c r="AX24" s="31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</row>
    <row r="25" spans="1:183">
      <c r="A25" s="22" t="s">
        <v>63</v>
      </c>
      <c r="B25" s="16">
        <f>'C５级比赛'!B25*5.5</f>
        <v>437.8</v>
      </c>
      <c r="C25" s="16">
        <f>'C５级比赛'!C25*5.5</f>
        <v>306.46</v>
      </c>
      <c r="D25" s="16">
        <f>'C５级比赛'!D25*5.5</f>
        <v>218.9</v>
      </c>
      <c r="E25" s="16">
        <f>'C５级比赛'!E25*5.5</f>
        <v>153.23</v>
      </c>
      <c r="F25" s="16">
        <f>'C５级比赛'!F25*5.5</f>
        <v>87.56</v>
      </c>
      <c r="G25" s="16">
        <f>'C５级比赛'!G25*5.5</f>
        <v>72.9666666666667</v>
      </c>
      <c r="H25" s="16">
        <f>'C５级比赛'!H25*5.5</f>
        <v>62.5428571428571</v>
      </c>
      <c r="I25" s="16">
        <f>'C５级比赛'!I25*5.5</f>
        <v>54.725</v>
      </c>
      <c r="J25" s="16">
        <f>'C５级比赛'!J25*5.5</f>
        <v>48.6444444444444</v>
      </c>
      <c r="K25" s="16">
        <f>'C５级比赛'!K25*5.5</f>
        <v>43.78</v>
      </c>
      <c r="L25" s="16">
        <f>'C５级比赛'!L25*5.5</f>
        <v>39.8</v>
      </c>
      <c r="M25" s="16">
        <f>'C５级比赛'!M25*5.5</f>
        <v>36.4833333333333</v>
      </c>
      <c r="N25" s="16">
        <f>'C５级比赛'!N25*5.5</f>
        <v>33.6769230769231</v>
      </c>
      <c r="O25" s="16">
        <f>'C５级比赛'!O25*5.5</f>
        <v>31.2714285714286</v>
      </c>
      <c r="P25" s="16">
        <f>'C５级比赛'!P25*5.5</f>
        <v>29.1866666666667</v>
      </c>
      <c r="Q25" s="16">
        <f>'C５级比赛'!Q25*5.5</f>
        <v>27.3625</v>
      </c>
      <c r="R25" s="16">
        <f>'C５级比赛'!R25*5.5</f>
        <v>24.3222222222222</v>
      </c>
      <c r="S25" s="16">
        <f>'C５级比赛'!S25*5.5</f>
        <v>21.89</v>
      </c>
      <c r="T25" s="16">
        <f>'C５级比赛'!T25*5.5</f>
        <v>16.8384615384615</v>
      </c>
      <c r="U25" s="16">
        <f>'C５级比赛'!U25*5.5</f>
        <v>14.5933333333333</v>
      </c>
      <c r="V25" s="16">
        <f>'C５级比赛'!V25*5.5</f>
        <v>10.6780487804878</v>
      </c>
      <c r="W25" s="16">
        <f>'C５级比赛'!W25*5.5</f>
        <v>8.58431372549019</v>
      </c>
      <c r="X25" s="38">
        <f>'C５级比赛'!X25*5.5</f>
        <v>2316.91825265441</v>
      </c>
      <c r="Y25" s="15">
        <f>'C５级比赛'!Y25*5.5</f>
        <v>19.1480847326811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</row>
    <row r="26" spans="1:183">
      <c r="A26" s="22" t="s">
        <v>64</v>
      </c>
      <c r="B26" s="16">
        <f>'C５级比赛'!B26*5.5</f>
        <v>495</v>
      </c>
      <c r="C26" s="16">
        <f>'C５级比赛'!C26*5.5</f>
        <v>346.5</v>
      </c>
      <c r="D26" s="16">
        <f>'C５级比赛'!D26*5.5</f>
        <v>247.5</v>
      </c>
      <c r="E26" s="16">
        <f>'C５级比赛'!E26*5.5</f>
        <v>173.25</v>
      </c>
      <c r="F26" s="16">
        <f>'C５级比赛'!F26*5.5</f>
        <v>99</v>
      </c>
      <c r="G26" s="16">
        <f>'C５级比赛'!G26*5.5</f>
        <v>82.5</v>
      </c>
      <c r="H26" s="16">
        <f>'C５级比赛'!H26*5.5</f>
        <v>70.7142857142857</v>
      </c>
      <c r="I26" s="16">
        <f>'C５级比赛'!I26*5.5</f>
        <v>61.875</v>
      </c>
      <c r="J26" s="16">
        <f>'C５级比赛'!J26*5.5</f>
        <v>55</v>
      </c>
      <c r="K26" s="16">
        <f>'C５级比赛'!K26*5.5</f>
        <v>49.5</v>
      </c>
      <c r="L26" s="16">
        <f>'C５级比赛'!L26*5.5</f>
        <v>45</v>
      </c>
      <c r="M26" s="16">
        <f>'C５级比赛'!M26*5.5</f>
        <v>41.25</v>
      </c>
      <c r="N26" s="16">
        <f>'C５级比赛'!N26*5.5</f>
        <v>38.0769230769231</v>
      </c>
      <c r="O26" s="16">
        <f>'C５级比赛'!O26*5.5</f>
        <v>35.3571428571429</v>
      </c>
      <c r="P26" s="16">
        <f>'C５级比赛'!P26*5.5</f>
        <v>33</v>
      </c>
      <c r="Q26" s="16">
        <f>'C５级比赛'!Q26*5.5</f>
        <v>30.9375</v>
      </c>
      <c r="R26" s="16">
        <f>'C５级比赛'!R26*5.5</f>
        <v>27.5</v>
      </c>
      <c r="S26" s="16">
        <f>'C５级比赛'!S26*5.5</f>
        <v>24.75</v>
      </c>
      <c r="T26" s="16">
        <f>'C５级比赛'!T26*5.5</f>
        <v>19.0384615384615</v>
      </c>
      <c r="U26" s="16">
        <f>'C５级比赛'!U26*5.5</f>
        <v>16.5</v>
      </c>
      <c r="V26" s="16">
        <f>'C５级比赛'!V26*5.5</f>
        <v>12.0731707317073</v>
      </c>
      <c r="W26" s="16">
        <f>'C５级比赛'!W26*5.5</f>
        <v>9.70588235294118</v>
      </c>
      <c r="X26" s="16">
        <f>'C５级比赛'!X26*5.5</f>
        <v>8.11475409836066</v>
      </c>
      <c r="Y26" s="38">
        <f>'C５级比赛'!Y26*5.5</f>
        <v>2700.77873117075</v>
      </c>
      <c r="Z26" s="15">
        <f>'C５级比赛'!Z26*5.5</f>
        <v>19.1544590863174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</row>
    <row r="27" spans="1:183">
      <c r="A27" s="22" t="s">
        <v>65</v>
      </c>
      <c r="B27" s="16">
        <f>'C５级比赛'!B27*5.5</f>
        <v>551.1</v>
      </c>
      <c r="C27" s="16">
        <f>'C５级比赛'!C27*5.5</f>
        <v>385.77</v>
      </c>
      <c r="D27" s="16">
        <f>'C５级比赛'!D27*5.5</f>
        <v>275.55</v>
      </c>
      <c r="E27" s="16">
        <f>'C５级比赛'!E27*5.5</f>
        <v>192.885</v>
      </c>
      <c r="F27" s="16">
        <f>'C５级比赛'!F27*5.5</f>
        <v>110.22</v>
      </c>
      <c r="G27" s="16">
        <f>'C５级比赛'!G27*5.5</f>
        <v>91.85</v>
      </c>
      <c r="H27" s="16">
        <f>'C５级比赛'!H27*5.5</f>
        <v>78.7285714285714</v>
      </c>
      <c r="I27" s="16">
        <f>'C５级比赛'!I27*5.5</f>
        <v>68.8875</v>
      </c>
      <c r="J27" s="16">
        <f>'C５级比赛'!J27*5.5</f>
        <v>61.2333333333333</v>
      </c>
      <c r="K27" s="16">
        <f>'C５级比赛'!K27*5.5</f>
        <v>55.11</v>
      </c>
      <c r="L27" s="16">
        <f>'C５级比赛'!L27*5.5</f>
        <v>50.1</v>
      </c>
      <c r="M27" s="16">
        <f>'C５级比赛'!M27*5.5</f>
        <v>45.925</v>
      </c>
      <c r="N27" s="16">
        <f>'C５级比赛'!N27*5.5</f>
        <v>42.3923076923077</v>
      </c>
      <c r="O27" s="16">
        <f>'C５级比赛'!O27*5.5</f>
        <v>39.3642857142857</v>
      </c>
      <c r="P27" s="16">
        <f>'C５级比赛'!P27*5.5</f>
        <v>36.74</v>
      </c>
      <c r="Q27" s="16">
        <f>'C５级比赛'!Q27*5.5</f>
        <v>34.44375</v>
      </c>
      <c r="R27" s="16">
        <f>'C５级比赛'!R27*5.5</f>
        <v>30.6166666666667</v>
      </c>
      <c r="S27" s="16">
        <f>'C５级比赛'!S27*5.5</f>
        <v>27.555</v>
      </c>
      <c r="T27" s="16">
        <f>'C５级比赛'!T27*5.5</f>
        <v>21.1961538461538</v>
      </c>
      <c r="U27" s="16">
        <f>'C５级比赛'!U27*5.5</f>
        <v>18.37</v>
      </c>
      <c r="V27" s="16">
        <f>'C５级比赛'!V27*5.5</f>
        <v>13.4414634146341</v>
      </c>
      <c r="W27" s="16">
        <f>'C５级比赛'!W27*5.5</f>
        <v>10.8058823529412</v>
      </c>
      <c r="X27" s="16">
        <f>'C５级比赛'!X27*5.5</f>
        <v>9.0344262295082</v>
      </c>
      <c r="Y27" s="16">
        <f>'C５级比赛'!Y27*5.5</f>
        <v>7.76197183098592</v>
      </c>
      <c r="Z27" s="38">
        <f>'C５级比赛'!Z27*5.5</f>
        <v>3084.48670567996</v>
      </c>
      <c r="AA27" s="15">
        <f>'C５级比赛'!AA27*5.5</f>
        <v>19.1583025197513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</row>
    <row r="28" spans="1:183">
      <c r="A28" s="22" t="s">
        <v>66</v>
      </c>
      <c r="B28" s="16">
        <f>'C５级比赛'!B28*5.5</f>
        <v>606.1</v>
      </c>
      <c r="C28" s="16">
        <f>'C５级比赛'!C28*5.5</f>
        <v>424.27</v>
      </c>
      <c r="D28" s="16">
        <f>'C５级比赛'!D28*5.5</f>
        <v>303.05</v>
      </c>
      <c r="E28" s="16">
        <f>'C５级比赛'!E28*5.5</f>
        <v>212.135</v>
      </c>
      <c r="F28" s="16">
        <f>'C５级比赛'!F28*5.5</f>
        <v>121.22</v>
      </c>
      <c r="G28" s="16">
        <f>'C５级比赛'!G28*5.5</f>
        <v>101.016666666667</v>
      </c>
      <c r="H28" s="16">
        <f>'C５级比赛'!H28*5.5</f>
        <v>86.5857142857143</v>
      </c>
      <c r="I28" s="16">
        <f>'C５级比赛'!I28*5.5</f>
        <v>75.7625</v>
      </c>
      <c r="J28" s="16">
        <f>'C５级比赛'!J28*5.5</f>
        <v>67.3444444444444</v>
      </c>
      <c r="K28" s="16">
        <f>'C５级比赛'!K28*5.5</f>
        <v>60.61</v>
      </c>
      <c r="L28" s="16">
        <f>'C５级比赛'!L28*5.5</f>
        <v>55.1</v>
      </c>
      <c r="M28" s="16">
        <f>'C５级比赛'!M28*5.5</f>
        <v>50.5083333333333</v>
      </c>
      <c r="N28" s="16">
        <f>'C５级比赛'!N28*5.5</f>
        <v>46.6230769230769</v>
      </c>
      <c r="O28" s="16">
        <f>'C５级比赛'!O28*5.5</f>
        <v>43.2928571428571</v>
      </c>
      <c r="P28" s="16">
        <f>'C５级比赛'!P28*5.5</f>
        <v>40.4066666666667</v>
      </c>
      <c r="Q28" s="16">
        <f>'C５级比赛'!Q28*5.5</f>
        <v>37.88125</v>
      </c>
      <c r="R28" s="16">
        <f>'C５级比赛'!R28*5.5</f>
        <v>33.6722222222222</v>
      </c>
      <c r="S28" s="16">
        <f>'C５级比赛'!S28*5.5</f>
        <v>30.305</v>
      </c>
      <c r="T28" s="16">
        <f>'C５级比赛'!T28*5.5</f>
        <v>23.3115384615385</v>
      </c>
      <c r="U28" s="16">
        <f>'C５级比赛'!U28*5.5</f>
        <v>20.2033333333333</v>
      </c>
      <c r="V28" s="16">
        <f>'C５级比赛'!V28*5.5</f>
        <v>14.7829268292683</v>
      </c>
      <c r="W28" s="16">
        <f>'C５级比赛'!W28*5.5</f>
        <v>11.8843137254902</v>
      </c>
      <c r="X28" s="16">
        <f>'C５级比赛'!X28*5.5</f>
        <v>9.93606557377049</v>
      </c>
      <c r="Y28" s="16">
        <f>'C５级比赛'!Y28*5.5</f>
        <v>8.53661971830986</v>
      </c>
      <c r="Z28" s="16">
        <f>'C５级比赛'!Z28*5.5</f>
        <v>7.48271604938272</v>
      </c>
      <c r="AA28" s="38">
        <f>'C５级比赛'!AA28*5.5</f>
        <v>3467.14687073267</v>
      </c>
      <c r="AB28" s="15">
        <f>'C５级比赛'!AB28*5.5</f>
        <v>19.1555075731087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</row>
    <row r="29" spans="1:183">
      <c r="A29" s="22" t="s">
        <v>67</v>
      </c>
      <c r="B29" s="16">
        <f>'C５级比赛'!B29*5.5</f>
        <v>660.55</v>
      </c>
      <c r="C29" s="16">
        <f>'C５级比赛'!C29*5.5</f>
        <v>462.385</v>
      </c>
      <c r="D29" s="16">
        <f>'C５级比赛'!D29*5.5</f>
        <v>330.275</v>
      </c>
      <c r="E29" s="16">
        <f>'C５级比赛'!E29*5.5</f>
        <v>231.1925</v>
      </c>
      <c r="F29" s="16">
        <f>'C５级比赛'!F29*5.5</f>
        <v>132.11</v>
      </c>
      <c r="G29" s="16">
        <f>'C５级比赛'!G29*5.5</f>
        <v>110.091666666667</v>
      </c>
      <c r="H29" s="16">
        <f>'C５级比赛'!H29*5.5</f>
        <v>94.3642857142857</v>
      </c>
      <c r="I29" s="16">
        <f>'C５级比赛'!I29*5.5</f>
        <v>82.56875</v>
      </c>
      <c r="J29" s="16">
        <f>'C５级比赛'!J29*5.5</f>
        <v>73.3944444444444</v>
      </c>
      <c r="K29" s="16">
        <f>'C５级比赛'!K29*5.5</f>
        <v>66.055</v>
      </c>
      <c r="L29" s="16">
        <f>'C５级比赛'!L29*5.5</f>
        <v>60.05</v>
      </c>
      <c r="M29" s="16">
        <f>'C５级比赛'!M29*5.5</f>
        <v>55.0458333333333</v>
      </c>
      <c r="N29" s="16">
        <f>'C５级比赛'!N29*5.5</f>
        <v>50.8115384615385</v>
      </c>
      <c r="O29" s="16">
        <f>'C５级比赛'!O29*5.5</f>
        <v>47.1821428571428</v>
      </c>
      <c r="P29" s="16">
        <f>'C５级比赛'!P29*5.5</f>
        <v>44.0366666666667</v>
      </c>
      <c r="Q29" s="16">
        <f>'C５级比赛'!Q29*5.5</f>
        <v>41.284375</v>
      </c>
      <c r="R29" s="16">
        <f>'C５级比赛'!R29*5.5</f>
        <v>36.6972222222222</v>
      </c>
      <c r="S29" s="16">
        <f>'C５级比赛'!S29*5.5</f>
        <v>33.0275</v>
      </c>
      <c r="T29" s="16">
        <f>'C５级比赛'!T29*5.5</f>
        <v>25.4057692307692</v>
      </c>
      <c r="U29" s="16">
        <f>'C５级比赛'!U29*5.5</f>
        <v>22.0183333333333</v>
      </c>
      <c r="V29" s="16">
        <f>'C５级比赛'!V29*5.5</f>
        <v>16.1109756097561</v>
      </c>
      <c r="W29" s="16">
        <f>'C５级比赛'!W29*5.5</f>
        <v>12.9519607843137</v>
      </c>
      <c r="X29" s="16">
        <f>'C５级比赛'!X29*5.5</f>
        <v>10.8286885245902</v>
      </c>
      <c r="Y29" s="16">
        <f>'C５级比赛'!Y29*5.5</f>
        <v>9.30352112676056</v>
      </c>
      <c r="Z29" s="16">
        <f>'C５级比赛'!Z29*5.5</f>
        <v>8.15493827160494</v>
      </c>
      <c r="AA29" s="16">
        <f>'C５级比赛'!AA29*5.5</f>
        <v>7.25879120879121</v>
      </c>
      <c r="AB29" s="38">
        <f>'C５级比赛'!AB29*5.5</f>
        <v>3851.21167955609</v>
      </c>
      <c r="AC29" s="15">
        <f>'C５级比赛'!AC29*5.5</f>
        <v>19.1602571122194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</row>
    <row r="30" spans="1:183">
      <c r="A30" s="22" t="s">
        <v>68</v>
      </c>
      <c r="B30" s="16">
        <f>'C５级比赛'!B30*5.5</f>
        <v>765.6</v>
      </c>
      <c r="C30" s="16">
        <f>'C５级比赛'!C30*5.5</f>
        <v>535.92</v>
      </c>
      <c r="D30" s="16">
        <f>'C５级比赛'!D30*5.5</f>
        <v>382.8</v>
      </c>
      <c r="E30" s="16">
        <f>'C５级比赛'!E30*5.5</f>
        <v>267.96</v>
      </c>
      <c r="F30" s="16">
        <f>'C５级比赛'!F30*5.5</f>
        <v>153.12</v>
      </c>
      <c r="G30" s="16">
        <f>'C５级比赛'!G30*5.5</f>
        <v>127.6</v>
      </c>
      <c r="H30" s="16">
        <f>'C５级比赛'!H30*5.5</f>
        <v>109.371428571429</v>
      </c>
      <c r="I30" s="16">
        <f>'C５级比赛'!I30*5.5</f>
        <v>95.7</v>
      </c>
      <c r="J30" s="16">
        <f>'C５级比赛'!J30*5.5</f>
        <v>85.0666666666667</v>
      </c>
      <c r="K30" s="16">
        <f>'C５级比赛'!K30*5.5</f>
        <v>76.56</v>
      </c>
      <c r="L30" s="16">
        <f>'C５级比赛'!L30*5.5</f>
        <v>69.6</v>
      </c>
      <c r="M30" s="16">
        <f>'C５级比赛'!M30*5.5</f>
        <v>63.8</v>
      </c>
      <c r="N30" s="16">
        <f>'C５级比赛'!N30*5.5</f>
        <v>58.8923076923077</v>
      </c>
      <c r="O30" s="16">
        <f>'C５级比赛'!O30*5.5</f>
        <v>54.6857142857143</v>
      </c>
      <c r="P30" s="16">
        <f>'C５级比赛'!P30*5.5</f>
        <v>51.04</v>
      </c>
      <c r="Q30" s="16">
        <f>'C５级比赛'!Q30*5.5</f>
        <v>47.85</v>
      </c>
      <c r="R30" s="16">
        <f>'C５级比赛'!R30*5.5</f>
        <v>42.5333333333333</v>
      </c>
      <c r="S30" s="16">
        <f>'C５级比赛'!S30*5.5</f>
        <v>38.28</v>
      </c>
      <c r="T30" s="16">
        <f>'C５级比赛'!T30*5.5</f>
        <v>29.4461538461538</v>
      </c>
      <c r="U30" s="16">
        <f>'C５级比赛'!U30*5.5</f>
        <v>25.52</v>
      </c>
      <c r="V30" s="16">
        <f>'C５级比赛'!V30*5.5</f>
        <v>18.6731707317073</v>
      </c>
      <c r="W30" s="16">
        <f>'C５级比赛'!W30*5.5</f>
        <v>15.0117647058824</v>
      </c>
      <c r="X30" s="16">
        <f>'C５级比赛'!X30*5.5</f>
        <v>12.5508196721311</v>
      </c>
      <c r="Y30" s="16">
        <f>'C５级比赛'!Y30*5.5</f>
        <v>10.7830985915493</v>
      </c>
      <c r="Z30" s="16">
        <f>'C５级比赛'!Z30*5.5</f>
        <v>9.45185185185185</v>
      </c>
      <c r="AA30" s="16">
        <f>'C５级比赛'!AA30*5.5</f>
        <v>8.41318681318681</v>
      </c>
      <c r="AB30" s="16">
        <f>'C５级比赛'!AB30*5.5</f>
        <v>7.656</v>
      </c>
      <c r="AC30" s="38">
        <f>'C５级比赛'!AC30*5.5</f>
        <v>4616.80581010997</v>
      </c>
      <c r="AD30" s="15">
        <f>'C５级比赛'!AD30*5.5</f>
        <v>19.1568705813692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</row>
    <row r="31" spans="1:183">
      <c r="A31" s="22" t="s">
        <v>69</v>
      </c>
      <c r="B31" s="16">
        <f>'C５级比赛'!B31*5.5</f>
        <v>869</v>
      </c>
      <c r="C31" s="16">
        <f>'C５级比赛'!C31*5.5</f>
        <v>608.3</v>
      </c>
      <c r="D31" s="16">
        <f>'C５级比赛'!D31*5.5</f>
        <v>434.5</v>
      </c>
      <c r="E31" s="16">
        <f>'C５级比赛'!E31*5.5</f>
        <v>304.15</v>
      </c>
      <c r="F31" s="16">
        <f>'C５级比赛'!F31*5.5</f>
        <v>173.8</v>
      </c>
      <c r="G31" s="16">
        <f>'C５级比赛'!G31*5.5</f>
        <v>144.833333333333</v>
      </c>
      <c r="H31" s="16">
        <f>'C５级比赛'!H31*5.5</f>
        <v>124.142857142857</v>
      </c>
      <c r="I31" s="16">
        <f>'C５级比赛'!I31*5.5</f>
        <v>108.625</v>
      </c>
      <c r="J31" s="16">
        <f>'C５级比赛'!J31*5.5</f>
        <v>96.5555555555556</v>
      </c>
      <c r="K31" s="16">
        <f>'C５级比赛'!K31*5.5</f>
        <v>86.9</v>
      </c>
      <c r="L31" s="16">
        <f>'C５级比赛'!L31*5.5</f>
        <v>79</v>
      </c>
      <c r="M31" s="16">
        <f>'C５级比赛'!M31*5.5</f>
        <v>72.4166666666667</v>
      </c>
      <c r="N31" s="16">
        <f>'C５级比赛'!N31*5.5</f>
        <v>66.8461538461538</v>
      </c>
      <c r="O31" s="16">
        <f>'C５级比赛'!O31*5.5</f>
        <v>62.0714285714286</v>
      </c>
      <c r="P31" s="16">
        <f>'C５级比赛'!P31*5.5</f>
        <v>57.9333333333333</v>
      </c>
      <c r="Q31" s="16">
        <f>'C５级比赛'!Q31*5.5</f>
        <v>54.3125</v>
      </c>
      <c r="R31" s="16">
        <f>'C５级比赛'!R31*5.5</f>
        <v>48.2777777777778</v>
      </c>
      <c r="S31" s="16">
        <f>'C５级比赛'!S31*5.5</f>
        <v>43.45</v>
      </c>
      <c r="T31" s="16">
        <f>'C５级比赛'!T31*5.5</f>
        <v>33.4230769230769</v>
      </c>
      <c r="U31" s="16">
        <f>'C５级比赛'!U31*5.5</f>
        <v>28.9666666666667</v>
      </c>
      <c r="V31" s="16">
        <f>'C５级比赛'!V31*5.5</f>
        <v>21.1951219512195</v>
      </c>
      <c r="W31" s="16">
        <f>'C５级比赛'!W31*5.5</f>
        <v>17.0392156862745</v>
      </c>
      <c r="X31" s="16">
        <f>'C５级比赛'!X31*5.5</f>
        <v>14.2459016393443</v>
      </c>
      <c r="Y31" s="16">
        <f>'C５级比赛'!Y31*5.5</f>
        <v>12.2394366197183</v>
      </c>
      <c r="Z31" s="16">
        <f>'C５级比赛'!Z31*5.5</f>
        <v>10.7283950617284</v>
      </c>
      <c r="AA31" s="16">
        <f>'C５级比赛'!AA31*5.5</f>
        <v>9.54945054945055</v>
      </c>
      <c r="AB31" s="16">
        <f>'C５级比赛'!AB31*5.5</f>
        <v>8.69</v>
      </c>
      <c r="AC31" s="16">
        <f>'C５级比赛'!AC31*5.5</f>
        <v>7.18181818181818</v>
      </c>
      <c r="AD31" s="38">
        <f>'C５级比赛'!AD31*5.5</f>
        <v>5383.97629177843</v>
      </c>
      <c r="AE31" s="15">
        <f>'C５级比赛'!AE31*5.5</f>
        <v>19.1600579778592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</row>
    <row r="32" spans="1:183">
      <c r="A32" s="22" t="s">
        <v>70</v>
      </c>
      <c r="B32" s="16">
        <f>'C５级比赛'!B32*5.5</f>
        <v>970.75</v>
      </c>
      <c r="C32" s="16">
        <f>'C５级比赛'!C32*5.5</f>
        <v>679.525</v>
      </c>
      <c r="D32" s="16">
        <f>'C５级比赛'!D32*5.5</f>
        <v>485.375</v>
      </c>
      <c r="E32" s="16">
        <f>'C５级比赛'!E32*5.5</f>
        <v>339.7625</v>
      </c>
      <c r="F32" s="16">
        <f>'C５级比赛'!F32*5.5</f>
        <v>194.15</v>
      </c>
      <c r="G32" s="16">
        <f>'C５级比赛'!G32*5.5</f>
        <v>161.791666666667</v>
      </c>
      <c r="H32" s="16">
        <f>'C５级比赛'!H32*5.5</f>
        <v>138.678571428571</v>
      </c>
      <c r="I32" s="16">
        <f>'C５级比赛'!I32*5.5</f>
        <v>121.34375</v>
      </c>
      <c r="J32" s="16">
        <f>'C５级比赛'!J32*5.5</f>
        <v>107.861111111111</v>
      </c>
      <c r="K32" s="16">
        <f>'C５级比赛'!K32*5.5</f>
        <v>97.075</v>
      </c>
      <c r="L32" s="16">
        <f>'C５级比赛'!L32*5.5</f>
        <v>88.25</v>
      </c>
      <c r="M32" s="16">
        <f>'C５级比赛'!M32*5.5</f>
        <v>80.8958333333333</v>
      </c>
      <c r="N32" s="16">
        <f>'C５级比赛'!N32*5.5</f>
        <v>74.6730769230769</v>
      </c>
      <c r="O32" s="16">
        <f>'C５级比赛'!O32*5.5</f>
        <v>69.3392857142857</v>
      </c>
      <c r="P32" s="16">
        <f>'C５级比赛'!P32*5.5</f>
        <v>64.7166666666667</v>
      </c>
      <c r="Q32" s="16">
        <f>'C５级比赛'!Q32*5.5</f>
        <v>60.671875</v>
      </c>
      <c r="R32" s="16">
        <f>'C５级比赛'!R32*5.5</f>
        <v>53.9305555555556</v>
      </c>
      <c r="S32" s="16">
        <f>'C５级比赛'!S32*5.5</f>
        <v>48.5375</v>
      </c>
      <c r="T32" s="16">
        <f>'C５级比赛'!T32*5.5</f>
        <v>37.3365384615385</v>
      </c>
      <c r="U32" s="16">
        <f>'C５级比赛'!U32*5.5</f>
        <v>32.3583333333333</v>
      </c>
      <c r="V32" s="16">
        <f>'C５级比赛'!V32*5.5</f>
        <v>23.6768292682927</v>
      </c>
      <c r="W32" s="16">
        <f>'C５级比赛'!W32*5.5</f>
        <v>19.0343137254902</v>
      </c>
      <c r="X32" s="16">
        <f>'C５级比赛'!X32*5.5</f>
        <v>15.9139344262295</v>
      </c>
      <c r="Y32" s="16">
        <f>'C５级比赛'!Y32*5.5</f>
        <v>13.6725352112676</v>
      </c>
      <c r="Z32" s="16">
        <f>'C５级比赛'!Z32*5.5</f>
        <v>11.9845679012346</v>
      </c>
      <c r="AA32" s="16">
        <f>'C５级比赛'!AA32*5.5</f>
        <v>10.6675824175824</v>
      </c>
      <c r="AB32" s="16">
        <f>'C５级比赛'!AB32*5.5</f>
        <v>9.7075</v>
      </c>
      <c r="AC32" s="16">
        <f>'C５级比赛'!AC32*5.5</f>
        <v>8.02272727272727</v>
      </c>
      <c r="AD32" s="16">
        <f>'C５级比赛'!AD32*5.5</f>
        <v>6.88475177304965</v>
      </c>
      <c r="AE32" s="38">
        <f>'C５级比赛'!AE32*5.5</f>
        <v>6152.07361456791</v>
      </c>
      <c r="AF32" s="27">
        <f>'C５级比赛'!AF32*5.5</f>
        <v>19.1653383631399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</row>
    <row r="33" spans="1:183">
      <c r="A33" s="22" t="s">
        <v>71</v>
      </c>
      <c r="B33" s="16">
        <f>'C５级比赛'!B33*5.5</f>
        <v>1070.85</v>
      </c>
      <c r="C33" s="16">
        <f>'C５级比赛'!C33*5.5</f>
        <v>749.595</v>
      </c>
      <c r="D33" s="16">
        <f>'C５级比赛'!D33*5.5</f>
        <v>535.425</v>
      </c>
      <c r="E33" s="16">
        <f>'C５级比赛'!E33*5.5</f>
        <v>374.7975</v>
      </c>
      <c r="F33" s="16">
        <f>'C５级比赛'!F33*5.5</f>
        <v>214.17</v>
      </c>
      <c r="G33" s="16">
        <f>'C５级比赛'!G33*5.5</f>
        <v>178.475</v>
      </c>
      <c r="H33" s="16">
        <f>'C５级比赛'!H33*5.5</f>
        <v>152.978571428571</v>
      </c>
      <c r="I33" s="16">
        <f>'C５级比赛'!I33*5.5</f>
        <v>133.85625</v>
      </c>
      <c r="J33" s="16">
        <f>'C５级比赛'!J33*5.5</f>
        <v>118.983333333333</v>
      </c>
      <c r="K33" s="16">
        <f>'C５级比赛'!K33*5.5</f>
        <v>107.085</v>
      </c>
      <c r="L33" s="16">
        <f>'C５级比赛'!L33*5.5</f>
        <v>97.35</v>
      </c>
      <c r="M33" s="16">
        <f>'C５级比赛'!M33*5.5</f>
        <v>89.2375</v>
      </c>
      <c r="N33" s="16">
        <f>'C５级比赛'!N33*5.5</f>
        <v>82.3730769230769</v>
      </c>
      <c r="O33" s="16">
        <f>'C５级比赛'!O33*5.5</f>
        <v>76.4892857142857</v>
      </c>
      <c r="P33" s="16">
        <f>'C５级比赛'!P33*5.5</f>
        <v>71.39</v>
      </c>
      <c r="Q33" s="16">
        <f>'C５级比赛'!Q33*5.5</f>
        <v>66.928125</v>
      </c>
      <c r="R33" s="16">
        <f>'C５级比赛'!R33*5.5</f>
        <v>59.4916666666667</v>
      </c>
      <c r="S33" s="16">
        <f>'C５级比赛'!S33*5.5</f>
        <v>53.5425</v>
      </c>
      <c r="T33" s="16">
        <f>'C５级比赛'!T33*5.5</f>
        <v>41.1865384615385</v>
      </c>
      <c r="U33" s="16">
        <f>'C５级比赛'!U33*5.5</f>
        <v>35.695</v>
      </c>
      <c r="V33" s="16">
        <f>'C５级比赛'!V33*5.5</f>
        <v>26.1182926829268</v>
      </c>
      <c r="W33" s="16">
        <f>'C５级比赛'!W33*5.5</f>
        <v>20.9970588235294</v>
      </c>
      <c r="X33" s="16">
        <f>'C５级比赛'!X33*5.5</f>
        <v>17.5549180327869</v>
      </c>
      <c r="Y33" s="16">
        <f>'C５级比赛'!Y33*5.5</f>
        <v>15.0823943661972</v>
      </c>
      <c r="Z33" s="16">
        <f>'C５级比赛'!Z33*5.5</f>
        <v>13.2203703703704</v>
      </c>
      <c r="AA33" s="16">
        <f>'C５级比赛'!AA33*5.5</f>
        <v>11.7675824175824</v>
      </c>
      <c r="AB33" s="16">
        <f>'C５级比赛'!AB33*5.5</f>
        <v>10.7085</v>
      </c>
      <c r="AC33" s="16">
        <f>'C５级比赛'!AC33*5.5</f>
        <v>8.85</v>
      </c>
      <c r="AD33" s="16">
        <f>'C５级比赛'!AD33*5.5</f>
        <v>7.59468085106383</v>
      </c>
      <c r="AE33" s="16">
        <f>'C５级比赛'!AE33*5.5</f>
        <v>6.65124223602484</v>
      </c>
      <c r="AF33" s="39">
        <f>'C５级比赛'!AF33*5.5</f>
        <v>6919.47658838266</v>
      </c>
      <c r="AG33" s="27">
        <f>'C５级比赛'!AG33*5.5</f>
        <v>19.1675251755752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</row>
    <row r="34" spans="1:183">
      <c r="A34" s="22" t="s">
        <v>72</v>
      </c>
      <c r="B34" s="16">
        <f>'C５级比赛'!B34*5.5</f>
        <v>1169.85</v>
      </c>
      <c r="C34" s="16">
        <f>'C５级比赛'!C34*5.5</f>
        <v>818.895</v>
      </c>
      <c r="D34" s="16">
        <f>'C５级比赛'!D34*5.5</f>
        <v>584.925</v>
      </c>
      <c r="E34" s="16">
        <f>'C５级比赛'!E34*5.5</f>
        <v>409.4475</v>
      </c>
      <c r="F34" s="16">
        <f>'C５级比赛'!F34*5.5</f>
        <v>233.97</v>
      </c>
      <c r="G34" s="16">
        <f>'C５级比赛'!G34*5.5</f>
        <v>194.975</v>
      </c>
      <c r="H34" s="16">
        <f>'C５级比赛'!H34*5.5</f>
        <v>167.121428571429</v>
      </c>
      <c r="I34" s="16">
        <f>'C５级比赛'!I34*5.5</f>
        <v>146.23125</v>
      </c>
      <c r="J34" s="16">
        <f>'C５级比赛'!J34*5.5</f>
        <v>129.983333333333</v>
      </c>
      <c r="K34" s="16">
        <f>'C５级比赛'!K34*5.5</f>
        <v>116.985</v>
      </c>
      <c r="L34" s="16">
        <f>'C５级比赛'!L34*5.5</f>
        <v>106.35</v>
      </c>
      <c r="M34" s="16">
        <f>'C５级比赛'!M34*5.5</f>
        <v>97.4875</v>
      </c>
      <c r="N34" s="16">
        <f>'C５级比赛'!N34*5.5</f>
        <v>89.9884615384615</v>
      </c>
      <c r="O34" s="16">
        <f>'C５级比赛'!O34*5.5</f>
        <v>83.5607142857143</v>
      </c>
      <c r="P34" s="16">
        <f>'C５级比赛'!P34*5.5</f>
        <v>77.99</v>
      </c>
      <c r="Q34" s="16">
        <f>'C５级比赛'!Q34*5.5</f>
        <v>73.115625</v>
      </c>
      <c r="R34" s="16">
        <f>'C５级比赛'!R34*5.5</f>
        <v>64.9916666666667</v>
      </c>
      <c r="S34" s="16">
        <f>'C５级比赛'!S34*5.5</f>
        <v>58.4925</v>
      </c>
      <c r="T34" s="16">
        <f>'C５级比赛'!T34*5.5</f>
        <v>44.9942307692308</v>
      </c>
      <c r="U34" s="16">
        <f>'C５级比赛'!U34*5.5</f>
        <v>38.995</v>
      </c>
      <c r="V34" s="16">
        <f>'C５级比赛'!V34*5.5</f>
        <v>28.5329268292683</v>
      </c>
      <c r="W34" s="16">
        <f>'C５级比赛'!W34*5.5</f>
        <v>22.9382352941176</v>
      </c>
      <c r="X34" s="16">
        <f>'C５级比赛'!X34*5.5</f>
        <v>19.177868852459</v>
      </c>
      <c r="Y34" s="16">
        <f>'C５级比赛'!Y34*5.5</f>
        <v>16.4767605633803</v>
      </c>
      <c r="Z34" s="16">
        <f>'C５级比赛'!Z34*5.5</f>
        <v>14.4425925925926</v>
      </c>
      <c r="AA34" s="16">
        <f>'C５级比赛'!AA34*5.5</f>
        <v>12.8554945054945</v>
      </c>
      <c r="AB34" s="16">
        <f>'C５级比赛'!AB34*5.5</f>
        <v>11.6985</v>
      </c>
      <c r="AC34" s="16">
        <f>'C５级比赛'!AC34*5.5</f>
        <v>9.66818181818182</v>
      </c>
      <c r="AD34" s="16">
        <f>'C５级比赛'!AD34*5.5</f>
        <v>8.2968085106383</v>
      </c>
      <c r="AE34" s="16">
        <f>'C５级比赛'!AE34*5.5</f>
        <v>7.26614906832298</v>
      </c>
      <c r="AF34" s="25">
        <f>'C５级比赛'!AF34*5.5</f>
        <v>6.46325966850829</v>
      </c>
      <c r="AG34" s="39">
        <f>'C５级比赛'!AG34*5.5</f>
        <v>7688.44685926124</v>
      </c>
      <c r="AH34" s="27">
        <f>'C５级比赛'!AH34*5.5</f>
        <v>19.1731841876839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</row>
    <row r="35" spans="1:183">
      <c r="A35" s="22" t="s">
        <v>73</v>
      </c>
      <c r="B35" s="16">
        <f>'C５级比赛'!B35*5.5</f>
        <v>1629.65</v>
      </c>
      <c r="C35" s="16">
        <f>'C５级比赛'!C35*5.5</f>
        <v>1140.755</v>
      </c>
      <c r="D35" s="16">
        <f>'C５级比赛'!D35*5.5</f>
        <v>814.825</v>
      </c>
      <c r="E35" s="16">
        <f>'C５级比赛'!E35*5.5</f>
        <v>570.3775</v>
      </c>
      <c r="F35" s="16">
        <f>'C５级比赛'!F35*5.5</f>
        <v>325.93</v>
      </c>
      <c r="G35" s="16">
        <f>'C５级比赛'!G35*5.5</f>
        <v>271.608333333333</v>
      </c>
      <c r="H35" s="16">
        <f>'C５级比赛'!H35*5.5</f>
        <v>232.807142857143</v>
      </c>
      <c r="I35" s="16">
        <f>'C５级比赛'!I35*5.5</f>
        <v>203.70625</v>
      </c>
      <c r="J35" s="16">
        <f>'C５级比赛'!J35*5.5</f>
        <v>181.072222222222</v>
      </c>
      <c r="K35" s="16">
        <f>'C５级比赛'!K35*5.5</f>
        <v>162.965</v>
      </c>
      <c r="L35" s="16">
        <f>'C５级比赛'!L35*5.5</f>
        <v>148.15</v>
      </c>
      <c r="M35" s="16">
        <f>'C５级比赛'!M35*5.5</f>
        <v>135.804166666667</v>
      </c>
      <c r="N35" s="16">
        <f>'C５级比赛'!N35*5.5</f>
        <v>125.357692307692</v>
      </c>
      <c r="O35" s="16">
        <f>'C５级比赛'!O35*5.5</f>
        <v>116.403571428571</v>
      </c>
      <c r="P35" s="16">
        <f>'C５级比赛'!P35*5.5</f>
        <v>108.643333333333</v>
      </c>
      <c r="Q35" s="16">
        <f>'C５级比赛'!Q35*5.5</f>
        <v>101.853125</v>
      </c>
      <c r="R35" s="16">
        <f>'C５级比赛'!R35*5.5</f>
        <v>90.5361111111111</v>
      </c>
      <c r="S35" s="16">
        <f>'C５级比赛'!S35*5.5</f>
        <v>81.4825</v>
      </c>
      <c r="T35" s="16">
        <f>'C５级比赛'!T35*5.5</f>
        <v>62.6788461538462</v>
      </c>
      <c r="U35" s="16">
        <f>'C５级比赛'!U35*5.5</f>
        <v>54.3216666666667</v>
      </c>
      <c r="V35" s="16">
        <f>'C５级比赛'!V35*5.5</f>
        <v>39.7475609756098</v>
      </c>
      <c r="W35" s="16">
        <f>'C５级比赛'!W35*5.5</f>
        <v>31.9539215686275</v>
      </c>
      <c r="X35" s="16">
        <f>'C５级比赛'!X35*5.5</f>
        <v>26.7155737704918</v>
      </c>
      <c r="Y35" s="16">
        <f>'C５级比赛'!Y35*5.5</f>
        <v>22.9528169014085</v>
      </c>
      <c r="Z35" s="16">
        <f>'C５级比赛'!Z35*5.5</f>
        <v>20.1191358024691</v>
      </c>
      <c r="AA35" s="16">
        <f>'C５级比赛'!AA35*5.5</f>
        <v>17.9082417582418</v>
      </c>
      <c r="AB35" s="16">
        <f>'C５级比赛'!AB35*5.5</f>
        <v>16.2965</v>
      </c>
      <c r="AC35" s="16">
        <f>'C５级比赛'!AC35*5.5</f>
        <v>13.4681818181818</v>
      </c>
      <c r="AD35" s="16">
        <f>'C５级比赛'!AD35*5.5</f>
        <v>11.5578014184397</v>
      </c>
      <c r="AE35" s="16">
        <f>'C５级比赛'!AE35*5.5</f>
        <v>10.122049689441</v>
      </c>
      <c r="AF35" s="25">
        <f>'C５级比赛'!AF35*5.5</f>
        <v>9.00359116022099</v>
      </c>
      <c r="AG35" s="25">
        <f>'C５级比赛'!AG35*5.5</f>
        <v>8.10771144278607</v>
      </c>
      <c r="AH35" s="39">
        <f>'C５级比赛'!AH35*5.5</f>
        <v>11521.099326691</v>
      </c>
      <c r="AI35" s="27">
        <f>'C５级比赛'!AI35*5.5</f>
        <v>19.1698824071397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</row>
    <row r="36" spans="1:183">
      <c r="A36" s="22" t="s">
        <v>74</v>
      </c>
      <c r="B36" s="16">
        <f>'C５级比赛'!B36*5.5</f>
        <v>2074.6</v>
      </c>
      <c r="C36" s="16">
        <f>'C５级比赛'!C36*5.5</f>
        <v>1452.22</v>
      </c>
      <c r="D36" s="16">
        <f>'C５级比赛'!D36*5.5</f>
        <v>1037.3</v>
      </c>
      <c r="E36" s="16">
        <f>'C５级比赛'!E36*5.5</f>
        <v>726.11</v>
      </c>
      <c r="F36" s="16">
        <f>'C５级比赛'!F36*5.5</f>
        <v>414.92</v>
      </c>
      <c r="G36" s="16">
        <f>'C５级比赛'!G36*5.5</f>
        <v>345.766666666667</v>
      </c>
      <c r="H36" s="16">
        <f>'C５级比赛'!H36*5.5</f>
        <v>296.371428571429</v>
      </c>
      <c r="I36" s="16">
        <f>'C５级比赛'!I36*5.5</f>
        <v>259.325</v>
      </c>
      <c r="J36" s="16">
        <f>'C５级比赛'!J36*5.5</f>
        <v>230.511111111111</v>
      </c>
      <c r="K36" s="16">
        <f>'C５级比赛'!K36*5.5</f>
        <v>207.46</v>
      </c>
      <c r="L36" s="16">
        <f>'C５级比赛'!L36*5.5</f>
        <v>188.6</v>
      </c>
      <c r="M36" s="16">
        <f>'C５级比赛'!M36*5.5</f>
        <v>172.883333333333</v>
      </c>
      <c r="N36" s="16">
        <f>'C５级比赛'!N36*5.5</f>
        <v>159.584615384615</v>
      </c>
      <c r="O36" s="16">
        <f>'C５级比赛'!O36*5.5</f>
        <v>148.185714285714</v>
      </c>
      <c r="P36" s="16">
        <f>'C５级比赛'!P36*5.5</f>
        <v>138.306666666667</v>
      </c>
      <c r="Q36" s="16">
        <f>'C５级比赛'!Q36*5.5</f>
        <v>129.6625</v>
      </c>
      <c r="R36" s="16">
        <f>'C５级比赛'!R36*5.5</f>
        <v>115.255555555556</v>
      </c>
      <c r="S36" s="16">
        <f>'C５级比赛'!S36*5.5</f>
        <v>103.73</v>
      </c>
      <c r="T36" s="16">
        <f>'C５级比赛'!T36*5.5</f>
        <v>79.7923076923077</v>
      </c>
      <c r="U36" s="16">
        <f>'C５级比赛'!U36*5.5</f>
        <v>69.1533333333333</v>
      </c>
      <c r="V36" s="16">
        <f>'C５级比赛'!V36*5.5</f>
        <v>50.6</v>
      </c>
      <c r="W36" s="16">
        <f>'C５级比赛'!W36*5.5</f>
        <v>40.678431372549</v>
      </c>
      <c r="X36" s="16">
        <f>'C５级比赛'!X36*5.5</f>
        <v>34.0098360655738</v>
      </c>
      <c r="Y36" s="16">
        <f>'C５级比赛'!Y36*5.5</f>
        <v>29.2197183098592</v>
      </c>
      <c r="Z36" s="16">
        <f>'C５级比赛'!Z36*5.5</f>
        <v>25.6123456790123</v>
      </c>
      <c r="AA36" s="16">
        <f>'C５级比赛'!AA36*5.5</f>
        <v>22.7978021978022</v>
      </c>
      <c r="AB36" s="16">
        <f>'C５级比赛'!AB36*5.5</f>
        <v>20.746</v>
      </c>
      <c r="AC36" s="16">
        <f>'C５级比赛'!AC36*5.5</f>
        <v>17.1454545454545</v>
      </c>
      <c r="AD36" s="16">
        <f>'C５级比赛'!AD36*5.5</f>
        <v>14.713475177305</v>
      </c>
      <c r="AE36" s="16">
        <f>'C５级比赛'!AE36*5.5</f>
        <v>12.8857142857143</v>
      </c>
      <c r="AF36" s="25">
        <f>'C５级比赛'!AF36*5.5</f>
        <v>11.4618784530387</v>
      </c>
      <c r="AG36" s="25">
        <f>'C５级比赛'!AG36*5.5</f>
        <v>10.3213930348259</v>
      </c>
      <c r="AH36" s="25">
        <f>'C５级比赛'!AH36*5.5</f>
        <v>6.89235880398671</v>
      </c>
      <c r="AI36" s="39">
        <f>'C５级比赛'!AI36*5.5</f>
        <v>15355.9880438405</v>
      </c>
      <c r="AJ36" s="27">
        <f>'C５级比赛'!AJ36*5.5</f>
        <v>19.1710212782029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</row>
    <row r="37" s="2" customFormat="1" spans="1:183">
      <c r="A37" s="19" t="s">
        <v>75</v>
      </c>
      <c r="B37" s="13">
        <f>'C５级比赛'!B37*5.5</f>
        <v>2508</v>
      </c>
      <c r="C37" s="13">
        <f>'C５级比赛'!C37*5.5</f>
        <v>1755.6</v>
      </c>
      <c r="D37" s="13">
        <f>'C５级比赛'!D37*5.5</f>
        <v>1254</v>
      </c>
      <c r="E37" s="13">
        <f>'C５级比赛'!E37*5.5</f>
        <v>877.8</v>
      </c>
      <c r="F37" s="13">
        <f>'C５级比赛'!F37*5.5</f>
        <v>501.6</v>
      </c>
      <c r="G37" s="13">
        <f>'C５级比赛'!G37*5.5</f>
        <v>418</v>
      </c>
      <c r="H37" s="13">
        <f>'C５级比赛'!H37*5.5</f>
        <v>358.285714285714</v>
      </c>
      <c r="I37" s="13">
        <f>'C５级比赛'!I37*5.5</f>
        <v>313.5</v>
      </c>
      <c r="J37" s="13">
        <f>'C５级比赛'!J37*5.5</f>
        <v>278.666666666667</v>
      </c>
      <c r="K37" s="13">
        <f>'C５级比赛'!K37*5.5</f>
        <v>250.8</v>
      </c>
      <c r="L37" s="13">
        <f>'C５级比赛'!L37*5.5</f>
        <v>228</v>
      </c>
      <c r="M37" s="13">
        <f>'C５级比赛'!M37*5.5</f>
        <v>209</v>
      </c>
      <c r="N37" s="13">
        <f>'C５级比赛'!N37*5.5</f>
        <v>192.923076923077</v>
      </c>
      <c r="O37" s="13">
        <f>'C５级比赛'!O37*5.5</f>
        <v>179.142857142857</v>
      </c>
      <c r="P37" s="13">
        <f>'C５级比赛'!P37*5.5</f>
        <v>167.2</v>
      </c>
      <c r="Q37" s="13">
        <f>'C５级比赛'!Q37*5.5</f>
        <v>156.75</v>
      </c>
      <c r="R37" s="13">
        <f>'C５级比赛'!R37*5.5</f>
        <v>139.333333333333</v>
      </c>
      <c r="S37" s="13">
        <f>'C５级比赛'!S37*5.5</f>
        <v>125.4</v>
      </c>
      <c r="T37" s="13">
        <f>'C５级比赛'!T37*5.5</f>
        <v>96.4615384615385</v>
      </c>
      <c r="U37" s="13">
        <f>'C５级比赛'!U37*5.5</f>
        <v>83.6</v>
      </c>
      <c r="V37" s="13">
        <f>'C５级比赛'!V37*5.5</f>
        <v>61.1707317073171</v>
      </c>
      <c r="W37" s="13">
        <f>'C５级比赛'!W37*5.5</f>
        <v>49.1764705882353</v>
      </c>
      <c r="X37" s="13">
        <f>'C５级比赛'!X37*5.5</f>
        <v>41.1147540983607</v>
      </c>
      <c r="Y37" s="13">
        <f>'C５级比赛'!Y37*5.5</f>
        <v>35.3239436619718</v>
      </c>
      <c r="Z37" s="13">
        <f>'C５级比赛'!Z37*5.5</f>
        <v>30.962962962963</v>
      </c>
      <c r="AA37" s="13">
        <f>'C５级比赛'!AA37*5.5</f>
        <v>27.5604395604396</v>
      </c>
      <c r="AB37" s="13">
        <f>'C５级比赛'!AB37*5.5</f>
        <v>25.08</v>
      </c>
      <c r="AC37" s="13">
        <f>'C５级比赛'!AC37*5.5</f>
        <v>20.7272727272727</v>
      </c>
      <c r="AD37" s="13">
        <f>'C５级比赛'!AD37*5.5</f>
        <v>17.7872340425532</v>
      </c>
      <c r="AE37" s="13">
        <f>'C５级比赛'!AE37*5.5</f>
        <v>15.5776397515528</v>
      </c>
      <c r="AF37" s="29">
        <f>'C５级比赛'!AF37*5.5</f>
        <v>13.8563535911602</v>
      </c>
      <c r="AG37" s="29">
        <f>'C５级比赛'!AG37*5.5</f>
        <v>12.4776119402985</v>
      </c>
      <c r="AH37" s="29">
        <f>'C５级比赛'!AH37*5.5</f>
        <v>8.33222591362126</v>
      </c>
      <c r="AI37" s="29">
        <f>'C５级比赛'!AI37*5.5</f>
        <v>6.25436408977556</v>
      </c>
      <c r="AJ37" s="39">
        <f>'C５级比赛'!AJ37*5.5</f>
        <v>19189.4092297392</v>
      </c>
      <c r="AK37" s="27">
        <f>'C５级比赛'!AK37*5.5</f>
        <v>19.1702389907484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</row>
    <row r="38" spans="1:183">
      <c r="A38" s="22" t="s">
        <v>76</v>
      </c>
      <c r="B38" s="16">
        <f>'C５级比赛'!B38*5.5</f>
        <v>2758.8</v>
      </c>
      <c r="C38" s="16">
        <f>'C５级比赛'!C38*5.5</f>
        <v>2510.508</v>
      </c>
      <c r="D38" s="16">
        <f>'C５级比赛'!D38*5.5</f>
        <v>1793.22</v>
      </c>
      <c r="E38" s="16">
        <f>'C５级比赛'!E38*5.5</f>
        <v>1351.812</v>
      </c>
      <c r="F38" s="16">
        <f>'C５级比赛'!F38*5.5</f>
        <v>772.464</v>
      </c>
      <c r="G38" s="16">
        <f>'C５级比赛'!G38*5.5</f>
        <v>643.72</v>
      </c>
      <c r="H38" s="16">
        <f>'C５级比赛'!H38*5.5</f>
        <v>551.76</v>
      </c>
      <c r="I38" s="16">
        <f>'C５级比赛'!I38*5.5</f>
        <v>482.79</v>
      </c>
      <c r="J38" s="16">
        <f>'C５级比赛'!J38*5.5</f>
        <v>429.146666666667</v>
      </c>
      <c r="K38" s="16">
        <f>'C５级比赛'!K38*5.5</f>
        <v>386.232</v>
      </c>
      <c r="L38" s="16">
        <f>'C５级比赛'!L38*5.5</f>
        <v>351.12</v>
      </c>
      <c r="M38" s="16">
        <f>'C５级比赛'!M38*5.5</f>
        <v>321.86</v>
      </c>
      <c r="N38" s="16">
        <f>'C５级比赛'!N38*5.5</f>
        <v>297.101538461538</v>
      </c>
      <c r="O38" s="16">
        <f>'C５级比赛'!O38*5.5</f>
        <v>275.88</v>
      </c>
      <c r="P38" s="16">
        <f>'C５级比赛'!P38*5.5</f>
        <v>257.488</v>
      </c>
      <c r="Q38" s="16">
        <f>'C５级比赛'!Q38*5.5</f>
        <v>241.395</v>
      </c>
      <c r="R38" s="16">
        <f>'C５级比赛'!R38*5.5</f>
        <v>214.573333333333</v>
      </c>
      <c r="S38" s="16">
        <f>'C５级比赛'!S38*5.5</f>
        <v>179.322</v>
      </c>
      <c r="T38" s="16">
        <f>'C５级比赛'!T38*5.5</f>
        <v>137.94</v>
      </c>
      <c r="U38" s="16">
        <f>'C５级比赛'!U38*5.5</f>
        <v>119.548</v>
      </c>
      <c r="V38" s="16">
        <f>'C５级比赛'!V38*5.5</f>
        <v>87.4741463414634</v>
      </c>
      <c r="W38" s="16">
        <f>'C５级比赛'!W38*5.5</f>
        <v>70.3223529411765</v>
      </c>
      <c r="X38" s="16">
        <f>'C５级比赛'!X38*5.5</f>
        <v>58.7940983606557</v>
      </c>
      <c r="Y38" s="16">
        <f>'C５级比赛'!Y38*5.5</f>
        <v>50.5132394366197</v>
      </c>
      <c r="Z38" s="16">
        <f>'C５级比赛'!Z38*5.5</f>
        <v>44.277037037037</v>
      </c>
      <c r="AA38" s="16">
        <f>'C５级比赛'!AA38*5.5</f>
        <v>39.4114285714286</v>
      </c>
      <c r="AB38" s="16">
        <f>'C５级比赛'!AB38*5.5</f>
        <v>35.8644</v>
      </c>
      <c r="AC38" s="16">
        <f>'C５级比赛'!AC38*5.5</f>
        <v>29.64</v>
      </c>
      <c r="AD38" s="16">
        <f>'C５级比赛'!AD38*5.5</f>
        <v>25.4357446808511</v>
      </c>
      <c r="AE38" s="16">
        <f>'C５级比赛'!AE38*5.5</f>
        <v>22.2760248447205</v>
      </c>
      <c r="AF38" s="25">
        <f>'C５级比赛'!AF38*5.5</f>
        <v>19.8145856353591</v>
      </c>
      <c r="AG38" s="25">
        <f>'C５级比赛'!AG38*5.5</f>
        <v>17.8429850746269</v>
      </c>
      <c r="AH38" s="25">
        <f>'C５级比赛'!AH38*5.5</f>
        <v>11.9150830564784</v>
      </c>
      <c r="AI38" s="25">
        <f>'C５级比赛'!AI38*5.5</f>
        <v>8.94374064837905</v>
      </c>
      <c r="AJ38" s="25">
        <f>'C５级比赛'!AJ38*5.5</f>
        <v>7.1585628742515</v>
      </c>
      <c r="AK38" s="39">
        <f>'C５级比赛'!AK38*5.5</f>
        <v>28920.5619317419</v>
      </c>
      <c r="AL38" s="27">
        <f>'C５级比赛'!AL38*5.5</f>
        <v>19.267529601427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</row>
    <row r="39" spans="1:183">
      <c r="A39" s="22" t="s">
        <v>77</v>
      </c>
      <c r="B39" s="16">
        <f>'C５级比赛'!B39*5.5</f>
        <v>3034.68</v>
      </c>
      <c r="C39" s="16">
        <f>'C５级比赛'!C39*5.5</f>
        <v>2761.5588</v>
      </c>
      <c r="D39" s="16">
        <f>'C５级比赛'!D39*5.5</f>
        <v>2579.478</v>
      </c>
      <c r="E39" s="16">
        <f>'C５级比赛'!E39*5.5</f>
        <v>1805.6346</v>
      </c>
      <c r="F39" s="16">
        <f>'C５级比赛'!F39*5.5</f>
        <v>1031.7912</v>
      </c>
      <c r="G39" s="16">
        <f>'C５级比赛'!G39*5.5</f>
        <v>859.826</v>
      </c>
      <c r="H39" s="16">
        <f>'C５级比赛'!H39*5.5</f>
        <v>736.993714285714</v>
      </c>
      <c r="I39" s="16">
        <f>'C５级比赛'!I39*5.5</f>
        <v>644.8695</v>
      </c>
      <c r="J39" s="16">
        <f>'C５级比赛'!J39*5.5</f>
        <v>573.217333333333</v>
      </c>
      <c r="K39" s="16">
        <f>'C５级比赛'!K39*5.5</f>
        <v>515.8956</v>
      </c>
      <c r="L39" s="16">
        <f>'C５级比赛'!L39*5.5</f>
        <v>468.996</v>
      </c>
      <c r="M39" s="16">
        <f>'C５级比赛'!M39*5.5</f>
        <v>429.913</v>
      </c>
      <c r="N39" s="16">
        <f>'C５级比赛'!N39*5.5</f>
        <v>396.842769230769</v>
      </c>
      <c r="O39" s="16">
        <f>'C５级比赛'!O39*5.5</f>
        <v>368.496857142857</v>
      </c>
      <c r="P39" s="16">
        <f>'C５级比赛'!P39*5.5</f>
        <v>343.9304</v>
      </c>
      <c r="Q39" s="16">
        <f>'C５级比赛'!Q39*5.5</f>
        <v>322.43475</v>
      </c>
      <c r="R39" s="16">
        <f>'C５级比赛'!R39*5.5</f>
        <v>286.608666666667</v>
      </c>
      <c r="S39" s="16">
        <f>'C５级比赛'!S39*5.5</f>
        <v>257.9478</v>
      </c>
      <c r="T39" s="16">
        <f>'C５级比赛'!T39*5.5</f>
        <v>198.421384615385</v>
      </c>
      <c r="U39" s="16">
        <f>'C５级比赛'!U39*5.5</f>
        <v>171.9652</v>
      </c>
      <c r="V39" s="16">
        <f>'C５级比赛'!V39*5.5</f>
        <v>111.024878048781</v>
      </c>
      <c r="W39" s="16">
        <f>'C５级比赛'!W39*5.5</f>
        <v>89.2552941176471</v>
      </c>
      <c r="X39" s="16">
        <f>'C５级比赛'!X39*5.5</f>
        <v>74.6232786885246</v>
      </c>
      <c r="Y39" s="16">
        <f>'C５级比赛'!Y39*5.5</f>
        <v>64.1129577464789</v>
      </c>
      <c r="Z39" s="16">
        <f>'C５级比赛'!Z39*5.5</f>
        <v>56.1977777777778</v>
      </c>
      <c r="AA39" s="16">
        <f>'C５级比赛'!AA39*5.5</f>
        <v>50.0221978021978</v>
      </c>
      <c r="AB39" s="16">
        <f>'C５级比赛'!AB39*5.5</f>
        <v>45.5202</v>
      </c>
      <c r="AC39" s="16">
        <f>'C５级比赛'!AC39*5.5</f>
        <v>37.62</v>
      </c>
      <c r="AD39" s="16">
        <f>'C５级比赛'!AD39*5.5</f>
        <v>32.2838297872341</v>
      </c>
      <c r="AE39" s="16">
        <f>'C５级比赛'!AE39*5.5</f>
        <v>28.2734161490683</v>
      </c>
      <c r="AF39" s="25">
        <f>'C５级比赛'!AF39*5.5</f>
        <v>25.1492817679558</v>
      </c>
      <c r="AG39" s="25">
        <f>'C５级比赛'!AG39*5.5</f>
        <v>22.6468656716418</v>
      </c>
      <c r="AH39" s="25">
        <f>'C５级比赛'!AH39*5.5</f>
        <v>15.1229900332226</v>
      </c>
      <c r="AI39" s="25">
        <f>'C５级比赛'!AI39*5.5</f>
        <v>11.3516708229426</v>
      </c>
      <c r="AJ39" s="25">
        <f>'C５级比赛'!AJ39*5.5</f>
        <v>9.08586826347305</v>
      </c>
      <c r="AK39" s="25">
        <f>'C５级比赛'!AK39*5.5</f>
        <v>6.06127829560586</v>
      </c>
      <c r="AL39" s="39">
        <f>'C５级比赛'!AL39*5.5</f>
        <v>38586.5548855193</v>
      </c>
      <c r="AM39" s="27">
        <f>'C５级比赛'!AM39*5.5</f>
        <v>19.2836356249472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</row>
    <row r="40" spans="1:183">
      <c r="A40" s="22" t="s">
        <v>78</v>
      </c>
      <c r="B40" s="16">
        <f>'C５级比赛'!B40*5.5</f>
        <v>3489.882</v>
      </c>
      <c r="C40" s="16">
        <f>'C５级比赛'!C40*5.5</f>
        <v>3175.79262</v>
      </c>
      <c r="D40" s="16">
        <f>'C５级比赛'!D40*5.5</f>
        <v>2879.15265</v>
      </c>
      <c r="E40" s="16">
        <f>'C５级比赛'!E40*5.5</f>
        <v>2687.20914</v>
      </c>
      <c r="F40" s="16">
        <f>'C５级比赛'!F40*5.5</f>
        <v>1535.54808</v>
      </c>
      <c r="G40" s="16">
        <f>'C５级比赛'!G40*5.5</f>
        <v>1279.6234</v>
      </c>
      <c r="H40" s="16">
        <f>'C５级比赛'!H40*5.5</f>
        <v>1096.82005714286</v>
      </c>
      <c r="I40" s="16">
        <f>'C５级比赛'!I40*5.5</f>
        <v>959.71755</v>
      </c>
      <c r="J40" s="16">
        <f>'C５级比赛'!J40*5.5</f>
        <v>853.082266666667</v>
      </c>
      <c r="K40" s="16">
        <f>'C５级比赛'!K40*5.5</f>
        <v>767.77404</v>
      </c>
      <c r="L40" s="16">
        <f>'C５级比赛'!L40*5.5</f>
        <v>697.9764</v>
      </c>
      <c r="M40" s="16">
        <f>'C５级比赛'!M40*5.5</f>
        <v>639.8117</v>
      </c>
      <c r="N40" s="16">
        <f>'C５级比赛'!N40*5.5</f>
        <v>590.595415384616</v>
      </c>
      <c r="O40" s="16">
        <f>'C５级比赛'!O40*5.5</f>
        <v>548.410028571429</v>
      </c>
      <c r="P40" s="16">
        <f>'C５级比赛'!P40*5.5</f>
        <v>511.84936</v>
      </c>
      <c r="Q40" s="16">
        <f>'C５级比赛'!Q40*5.5</f>
        <v>479.858775</v>
      </c>
      <c r="R40" s="16">
        <f>'C５级比赛'!R40*5.5</f>
        <v>426.541133333333</v>
      </c>
      <c r="S40" s="16">
        <f>'C５级比赛'!S40*5.5</f>
        <v>383.88702</v>
      </c>
      <c r="T40" s="16">
        <f>'C５级比赛'!T40*5.5</f>
        <v>295.297707692308</v>
      </c>
      <c r="U40" s="16">
        <f>'C５级比赛'!U40*5.5</f>
        <v>255.92468</v>
      </c>
      <c r="V40" s="16">
        <f>'C５级比赛'!V40*5.5</f>
        <v>187.26196097561</v>
      </c>
      <c r="W40" s="16">
        <f>'C５级比赛'!W40*5.5</f>
        <v>150.543929411765</v>
      </c>
      <c r="X40" s="16">
        <f>'C５级比赛'!X40*5.5</f>
        <v>125.864596721311</v>
      </c>
      <c r="Y40" s="16">
        <f>'C５级比赛'!Y40*5.5</f>
        <v>108.137188732394</v>
      </c>
      <c r="Z40" s="16">
        <f>'C５级比赛'!Z40*5.5</f>
        <v>94.7869185185185</v>
      </c>
      <c r="AA40" s="16">
        <f>'C５级比赛'!AA40*5.5</f>
        <v>84.3707736263736</v>
      </c>
      <c r="AB40" s="16">
        <f>'C５级比赛'!AB40*5.5</f>
        <v>76.777404</v>
      </c>
      <c r="AC40" s="16">
        <f>'C５级比赛'!AC40*5.5</f>
        <v>63.4524</v>
      </c>
      <c r="AD40" s="16">
        <f>'C５级比赛'!AD40*5.5</f>
        <v>49.5018723404255</v>
      </c>
      <c r="AE40" s="16">
        <f>'C５级比赛'!AE40*5.5</f>
        <v>43.3525714285714</v>
      </c>
      <c r="AF40" s="25">
        <f>'C５级比赛'!AF40*5.5</f>
        <v>38.5622320441989</v>
      </c>
      <c r="AG40" s="25">
        <f>'C５级比赛'!AG40*5.5</f>
        <v>34.7251940298508</v>
      </c>
      <c r="AH40" s="25">
        <f>'C５级比赛'!AH40*5.5</f>
        <v>23.188584717608</v>
      </c>
      <c r="AI40" s="25">
        <f>'C５级比赛'!AI40*5.5</f>
        <v>17.4058952618454</v>
      </c>
      <c r="AJ40" s="25">
        <f>'C５级比赛'!AJ40*5.5</f>
        <v>11.145331736527</v>
      </c>
      <c r="AK40" s="25">
        <f>'C５级比赛'!AK40*5.5</f>
        <v>7.43516804260986</v>
      </c>
      <c r="AL40" s="25">
        <f>'C５级比赛'!AL40*5.5</f>
        <v>5.57823296703297</v>
      </c>
      <c r="AM40" s="39">
        <f>'C５级比赛'!AM40*5.5</f>
        <v>57816.5482015818</v>
      </c>
      <c r="AN40" s="27">
        <f>'C５级比赛'!AN40*5.5</f>
        <v>19.2657608135894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</row>
    <row r="41" spans="1:183">
      <c r="A41" s="22" t="s">
        <v>79</v>
      </c>
      <c r="B41" s="16">
        <f>'C５级比赛'!B41*5.5</f>
        <v>4013.3643</v>
      </c>
      <c r="C41" s="16">
        <f>'C５级比赛'!C41*5.5</f>
        <v>3652.161513</v>
      </c>
      <c r="D41" s="16">
        <f>'C５级比赛'!D41*5.5</f>
        <v>3311.0255475</v>
      </c>
      <c r="E41" s="16">
        <f>'C５级比赛'!E41*5.5</f>
        <v>3090.290511</v>
      </c>
      <c r="F41" s="16">
        <f>'C５级比赛'!F41*5.5</f>
        <v>2086.949436</v>
      </c>
      <c r="G41" s="16">
        <f>'C５级比赛'!G41*5.5</f>
        <v>1739.12453</v>
      </c>
      <c r="H41" s="16">
        <f>'C５级比赛'!H41*5.5</f>
        <v>1490.67816857143</v>
      </c>
      <c r="I41" s="16">
        <f>'C５级比赛'!I41*5.5</f>
        <v>1304.3433975</v>
      </c>
      <c r="J41" s="16">
        <f>'C５级比赛'!J41*5.5</f>
        <v>1159.41635333333</v>
      </c>
      <c r="K41" s="16">
        <f>'C５级比赛'!K41*5.5</f>
        <v>1043.474718</v>
      </c>
      <c r="L41" s="16">
        <f>'C５级比赛'!L41*5.5</f>
        <v>948.61338</v>
      </c>
      <c r="M41" s="16">
        <f>'C５级比赛'!M41*5.5</f>
        <v>869.562265</v>
      </c>
      <c r="N41" s="16">
        <f>'C５级比赛'!N41*5.5</f>
        <v>802.67286</v>
      </c>
      <c r="O41" s="16">
        <f>'C５级比赛'!O41*5.5</f>
        <v>745.339084285715</v>
      </c>
      <c r="P41" s="16">
        <f>'C５级比赛'!P41*5.5</f>
        <v>695.649812</v>
      </c>
      <c r="Q41" s="16">
        <f>'C５级比赛'!Q41*5.5</f>
        <v>652.17169875</v>
      </c>
      <c r="R41" s="16">
        <f>'C５级比赛'!R41*5.5</f>
        <v>579.708176666667</v>
      </c>
      <c r="S41" s="16">
        <f>'C５级比赛'!S41*5.5</f>
        <v>521.737359</v>
      </c>
      <c r="T41" s="16">
        <f>'C５级比赛'!T41*5.5</f>
        <v>401.33643</v>
      </c>
      <c r="U41" s="16">
        <f>'C５级比赛'!U41*5.5</f>
        <v>347.824906</v>
      </c>
      <c r="V41" s="16">
        <f>'C５级比赛'!V41*5.5</f>
        <v>254.506028780488</v>
      </c>
      <c r="W41" s="16">
        <f>'C５级比赛'!W41*5.5</f>
        <v>204.602885882353</v>
      </c>
      <c r="X41" s="16">
        <f>'C５级比赛'!X41*5.5</f>
        <v>171.061429180328</v>
      </c>
      <c r="Y41" s="16">
        <f>'C５级比赛'!Y41*5.5</f>
        <v>146.968270140845</v>
      </c>
      <c r="Z41" s="16">
        <f>'C５级比赛'!Z41*5.5</f>
        <v>128.824039259259</v>
      </c>
      <c r="AA41" s="16">
        <f>'C５级比赛'!AA41*5.5</f>
        <v>114.667551428571</v>
      </c>
      <c r="AB41" s="16">
        <f>'C５级比赛'!AB41*5.5</f>
        <v>104.3474718</v>
      </c>
      <c r="AC41" s="16">
        <f>'C５级比赛'!AC41*5.5</f>
        <v>72.97026</v>
      </c>
      <c r="AD41" s="16">
        <f>'C５级比赛'!AD41*5.5</f>
        <v>62.6198685106383</v>
      </c>
      <c r="AE41" s="16">
        <f>'C５级比赛'!AE41*5.5</f>
        <v>54.8410028571429</v>
      </c>
      <c r="AF41" s="25">
        <f>'C５级比赛'!AF41*5.5</f>
        <v>48.7812235359116</v>
      </c>
      <c r="AG41" s="25">
        <f>'C５级比赛'!AG41*5.5</f>
        <v>43.9273704477612</v>
      </c>
      <c r="AH41" s="25">
        <f>'C５级比赛'!AH41*5.5</f>
        <v>26.6668724252492</v>
      </c>
      <c r="AI41" s="25">
        <f>'C５级比赛'!AI41*5.5</f>
        <v>20.0167795511222</v>
      </c>
      <c r="AJ41" s="25">
        <f>'C５级比赛'!AJ41*5.5</f>
        <v>16.0214143712575</v>
      </c>
      <c r="AK41" s="25">
        <f>'C５级比赛'!AK41*5.5</f>
        <v>10.6880540612517</v>
      </c>
      <c r="AL41" s="25">
        <f>'C５级比赛'!AL41*5.5</f>
        <v>8.01870989010989</v>
      </c>
      <c r="AM41" s="25">
        <f>'C５级比赛'!AM41*5.5</f>
        <v>4.27806987341772</v>
      </c>
      <c r="AN41" s="39">
        <f>'C５级比赛'!AN41*5.5</f>
        <v>77054.1096217872</v>
      </c>
      <c r="AO41" s="27">
        <f>'C５级比赛'!AO41*5.5</f>
        <v>19.258712727265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</row>
    <row r="42" spans="1:183">
      <c r="A42" s="22" t="s">
        <v>80</v>
      </c>
      <c r="B42" s="16">
        <f>'C５级比赛'!B42*5.5</f>
        <v>4615.368945</v>
      </c>
      <c r="C42" s="16">
        <f>'C５级比赛'!C42*5.5</f>
        <v>4199.98573995</v>
      </c>
      <c r="D42" s="16">
        <f>'C５级比赛'!D42*5.5</f>
        <v>3807.679379625</v>
      </c>
      <c r="E42" s="16">
        <f>'C５级比赛'!E42*5.5</f>
        <v>3553.83408765</v>
      </c>
      <c r="F42" s="16">
        <f>'C５级比赛'!F42*5.5</f>
        <v>3046.1435037</v>
      </c>
      <c r="G42" s="16">
        <f>'C５级比赛'!G42*5.5</f>
        <v>2538.45291975</v>
      </c>
      <c r="H42" s="16">
        <f>'C５级比赛'!H42*5.5</f>
        <v>2175.81678835714</v>
      </c>
      <c r="I42" s="16">
        <f>'C５级比赛'!I42*5.5</f>
        <v>1903.8396898125</v>
      </c>
      <c r="J42" s="16">
        <f>'C５级比赛'!J42*5.5</f>
        <v>1692.3019465</v>
      </c>
      <c r="K42" s="16">
        <f>'C５级比赛'!K42*5.5</f>
        <v>1523.07175185</v>
      </c>
      <c r="L42" s="16">
        <f>'C５级比赛'!L42*5.5</f>
        <v>1384.6106835</v>
      </c>
      <c r="M42" s="16">
        <f>'C５级比赛'!M42*5.5</f>
        <v>1269.226459875</v>
      </c>
      <c r="N42" s="16">
        <f>'C５级比赛'!N42*5.5</f>
        <v>1171.59365526923</v>
      </c>
      <c r="O42" s="16">
        <f>'C５级比赛'!O42*5.5</f>
        <v>1087.90839417857</v>
      </c>
      <c r="P42" s="16">
        <f>'C５级比赛'!P42*5.5</f>
        <v>1015.3811679</v>
      </c>
      <c r="Q42" s="16">
        <f>'C５级比赛'!Q42*5.5</f>
        <v>951.91984490625</v>
      </c>
      <c r="R42" s="16">
        <f>'C５级比赛'!R42*5.5</f>
        <v>846.15097325</v>
      </c>
      <c r="S42" s="16">
        <f>'C５级比赛'!S42*5.5</f>
        <v>761.535875925</v>
      </c>
      <c r="T42" s="16">
        <f>'C５级比赛'!T42*5.5</f>
        <v>585.796827634615</v>
      </c>
      <c r="U42" s="16">
        <f>'C５级比赛'!U42*5.5</f>
        <v>507.69058395</v>
      </c>
      <c r="V42" s="16">
        <f>'C５级比赛'!V42*5.5</f>
        <v>371.480915085366</v>
      </c>
      <c r="W42" s="16">
        <f>'C５级比赛'!W42*5.5</f>
        <v>298.641519970588</v>
      </c>
      <c r="X42" s="16">
        <f>'C５级比赛'!X42*5.5</f>
        <v>249.683893745902</v>
      </c>
      <c r="Y42" s="16">
        <f>'C５级比赛'!Y42*5.5</f>
        <v>214.517148147887</v>
      </c>
      <c r="Z42" s="16">
        <f>'C５级比赛'!Z42*5.5</f>
        <v>188.033549611111</v>
      </c>
      <c r="AA42" s="16">
        <f>'C５级比赛'!AA42*5.5</f>
        <v>167.370522181319</v>
      </c>
      <c r="AB42" s="16">
        <f>'C５级比赛'!AB42*5.5</f>
        <v>152.307175185</v>
      </c>
      <c r="AC42" s="16">
        <f>'C５级比赛'!AC42*5.5</f>
        <v>125.8736985</v>
      </c>
      <c r="AD42" s="16">
        <f>'C５级比赛'!AD42*5.5</f>
        <v>108.019273180851</v>
      </c>
      <c r="AE42" s="16">
        <f>'C５级比赛'!AE42*5.5</f>
        <v>94.6007299285714</v>
      </c>
      <c r="AF42" s="25">
        <f>'C５级比赛'!AF42*5.5</f>
        <v>84.1476105994475</v>
      </c>
      <c r="AG42" s="25">
        <f>'C５级比赛'!AG42*5.5</f>
        <v>75.7747140223881</v>
      </c>
      <c r="AH42" s="25">
        <f>'C５级比赛'!AH42*5.5</f>
        <v>46.0003549335548</v>
      </c>
      <c r="AI42" s="25">
        <f>'C５级比赛'!AI42*5.5</f>
        <v>34.5289447256858</v>
      </c>
      <c r="AJ42" s="25">
        <f>'C５级比赛'!AJ42*5.5</f>
        <v>27.6369397904192</v>
      </c>
      <c r="AK42" s="25">
        <f>'C５级比赛'!AK42*5.5</f>
        <v>15.3640777130493</v>
      </c>
      <c r="AL42" s="25">
        <f>'C５级比赛'!AL42*5.5</f>
        <v>9.22151637362637</v>
      </c>
      <c r="AM42" s="25">
        <f>'C５级比赛'!AM42*5.5</f>
        <v>6.14972544303798</v>
      </c>
      <c r="AN42" s="25">
        <f>'C５级比赛'!AN42*5.5</f>
        <v>4.15175617241379</v>
      </c>
      <c r="AO42" s="39">
        <f>'C５级比赛'!AO42*5.5</f>
        <v>115655.355139853</v>
      </c>
      <c r="AP42" s="27">
        <f>'C５级比赛'!AP42*5.5</f>
        <v>19.2726804099072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</row>
    <row r="43" spans="1:183">
      <c r="A43" s="22" t="s">
        <v>81</v>
      </c>
      <c r="B43" s="16">
        <f>'C５级比赛'!B43*5.5</f>
        <v>5307.67428675</v>
      </c>
      <c r="C43" s="16">
        <f>'C５级比赛'!C43*5.5</f>
        <v>4829.9836009425</v>
      </c>
      <c r="D43" s="16">
        <f>'C５级比赛'!D43*5.5</f>
        <v>4378.83128656875</v>
      </c>
      <c r="E43" s="16">
        <f>'C５级比赛'!E43*5.5</f>
        <v>4086.9092007975</v>
      </c>
      <c r="F43" s="16">
        <f>'C５级比赛'!F43*5.5</f>
        <v>3821.52548646</v>
      </c>
      <c r="G43" s="16">
        <f>'C５级比赛'!G43*5.5</f>
        <v>3184.60457205</v>
      </c>
      <c r="H43" s="16">
        <f>'C５级比赛'!H43*5.5</f>
        <v>2729.66106175714</v>
      </c>
      <c r="I43" s="16">
        <f>'C５级比赛'!I43*5.5</f>
        <v>2388.4534290375</v>
      </c>
      <c r="J43" s="16">
        <f>'C５级比赛'!J43*5.5</f>
        <v>2123.0697147</v>
      </c>
      <c r="K43" s="16">
        <f>'C５级比赛'!K43*5.5</f>
        <v>1910.76274323</v>
      </c>
      <c r="L43" s="16">
        <f>'C５级比赛'!L43*5.5</f>
        <v>1737.0570393</v>
      </c>
      <c r="M43" s="16">
        <f>'C５级比赛'!M43*5.5</f>
        <v>1592.302286025</v>
      </c>
      <c r="N43" s="16">
        <f>'C５级比赛'!N43*5.5</f>
        <v>1469.81749479231</v>
      </c>
      <c r="O43" s="16">
        <f>'C５级比赛'!O43*5.5</f>
        <v>1364.83053087857</v>
      </c>
      <c r="P43" s="16">
        <f>'C５级比赛'!P43*5.5</f>
        <v>1273.84182882</v>
      </c>
      <c r="Q43" s="16">
        <f>'C５级比赛'!Q43*5.5</f>
        <v>1194.22671451875</v>
      </c>
      <c r="R43" s="16">
        <f>'C５级比赛'!R43*5.5</f>
        <v>1061.53485735</v>
      </c>
      <c r="S43" s="16">
        <f>'C５级比赛'!S43*5.5</f>
        <v>955.381371615</v>
      </c>
      <c r="T43" s="16">
        <f>'C５级比赛'!T43*5.5</f>
        <v>734.908747396154</v>
      </c>
      <c r="U43" s="16">
        <f>'C５级比赛'!U43*5.5</f>
        <v>636.92091441</v>
      </c>
      <c r="V43" s="16">
        <f>'C５级比赛'!V43*5.5</f>
        <v>466.039693470732</v>
      </c>
      <c r="W43" s="16">
        <f>'C５级比赛'!W43*5.5</f>
        <v>374.659361417647</v>
      </c>
      <c r="X43" s="16">
        <f>'C５级比赛'!X43*5.5</f>
        <v>313.239793972131</v>
      </c>
      <c r="Y43" s="16">
        <f>'C５级比赛'!Y43*5.5</f>
        <v>269.121513130986</v>
      </c>
      <c r="Z43" s="16">
        <f>'C５级比赛'!Z43*5.5</f>
        <v>235.896634966667</v>
      </c>
      <c r="AA43" s="16">
        <f>'C５级比赛'!AA43*5.5</f>
        <v>209.973927827473</v>
      </c>
      <c r="AB43" s="16">
        <f>'C５级比赛'!AB43*5.5</f>
        <v>191.076274323</v>
      </c>
      <c r="AC43" s="16">
        <f>'C５级比赛'!AC43*5.5</f>
        <v>157.9142763</v>
      </c>
      <c r="AD43" s="16">
        <f>'C５级比赛'!AD43*5.5</f>
        <v>131.750780167553</v>
      </c>
      <c r="AE43" s="16">
        <f>'C５级比赛'!AE43*5.5</f>
        <v>115.384223625</v>
      </c>
      <c r="AF43" s="25">
        <f>'C５级比赛'!AF43*5.5</f>
        <v>102.634585655387</v>
      </c>
      <c r="AG43" s="25">
        <f>'C５级比赛'!AG43*5.5</f>
        <v>92.4221890727612</v>
      </c>
      <c r="AH43" s="25">
        <f>'C５级比赛'!AH43*5.5</f>
        <v>58.1904489909468</v>
      </c>
      <c r="AI43" s="25">
        <f>'C５级比赛'!AI43*5.5</f>
        <v>43.6791150779925</v>
      </c>
      <c r="AJ43" s="25">
        <f>'C５级比赛'!AJ43*5.5</f>
        <v>32.8418967842814</v>
      </c>
      <c r="AK43" s="25">
        <f>'C５级比赛'!AK43*5.5</f>
        <v>21.202427244008</v>
      </c>
      <c r="AL43" s="25">
        <f>'C５级比赛'!AL43*5.5</f>
        <v>15.9071157445055</v>
      </c>
      <c r="AM43" s="25">
        <f>'C５级比赛'!AM43*5.5</f>
        <v>10.6082763892405</v>
      </c>
      <c r="AN43" s="25">
        <f>'C５级比赛'!AN43*5.5</f>
        <v>7.9575326637931</v>
      </c>
      <c r="AO43" s="25">
        <f>'C５级比赛'!AO43*5.5</f>
        <v>4.9521786080973</v>
      </c>
      <c r="AP43" s="39">
        <f>'C５级比赛'!AP43*5.5</f>
        <v>154365.218011634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</row>
    <row r="44" s="2" customFormat="1" ht="21.6" spans="1:183">
      <c r="A44" s="19" t="s">
        <v>82</v>
      </c>
      <c r="B44" s="13">
        <f>'C５级比赛'!B44*5.5</f>
        <v>6103.8254297625</v>
      </c>
      <c r="C44" s="13">
        <f>'C５级比赛'!C44*5.5</f>
        <v>5554.48114108387</v>
      </c>
      <c r="D44" s="13">
        <f>'C５级比赛'!D44*5.5</f>
        <v>5035.65597955406</v>
      </c>
      <c r="E44" s="13">
        <f>'C５级比赛'!E44*5.5</f>
        <v>4699.94558091712</v>
      </c>
      <c r="F44" s="13">
        <f>'C５级比赛'!F44*5.5</f>
        <v>4394.754309429</v>
      </c>
      <c r="G44" s="13">
        <f>'C５级比赛'!G44*5.5</f>
        <v>3662.2952578575</v>
      </c>
      <c r="H44" s="13">
        <f>'C５级比赛'!H44*5.5</f>
        <v>3139.11022102071</v>
      </c>
      <c r="I44" s="13">
        <f>'C５级比赛'!I44*5.5</f>
        <v>2746.72144339312</v>
      </c>
      <c r="J44" s="13">
        <f>'C５级比赛'!J44*5.5</f>
        <v>2441.530171905</v>
      </c>
      <c r="K44" s="13">
        <f>'C５级比赛'!K44*5.5</f>
        <v>2197.3771547145</v>
      </c>
      <c r="L44" s="13">
        <f>'C５级比赛'!L44*5.5</f>
        <v>1997.615595195</v>
      </c>
      <c r="M44" s="13">
        <f>'C５级比赛'!M44*5.5</f>
        <v>1831.14762892875</v>
      </c>
      <c r="N44" s="13">
        <f>'C５级比赛'!N44*5.5</f>
        <v>1690.29011901115</v>
      </c>
      <c r="O44" s="13">
        <f>'C５级比赛'!O44*5.5</f>
        <v>1569.55511051036</v>
      </c>
      <c r="P44" s="13">
        <f>'C５级比赛'!P44*5.5</f>
        <v>1464.918103143</v>
      </c>
      <c r="Q44" s="13">
        <f>'C５级比赛'!Q44*5.5</f>
        <v>1373.36072169656</v>
      </c>
      <c r="R44" s="13">
        <f>'C５级比赛'!R44*5.5</f>
        <v>1220.7650859525</v>
      </c>
      <c r="S44" s="13">
        <f>'C５级比赛'!S44*5.5</f>
        <v>1098.68857735725</v>
      </c>
      <c r="T44" s="13">
        <f>'C５级比赛'!T44*5.5</f>
        <v>845.145059505577</v>
      </c>
      <c r="U44" s="13">
        <f>'C５级比赛'!U44*5.5</f>
        <v>732.4590515715</v>
      </c>
      <c r="V44" s="13">
        <f>'C５级比赛'!V44*5.5</f>
        <v>535.945647491341</v>
      </c>
      <c r="W44" s="13">
        <f>'C５级比赛'!W44*5.5</f>
        <v>430.858265630294</v>
      </c>
      <c r="X44" s="13">
        <f>'C５级比赛'!X44*5.5</f>
        <v>360.225763067951</v>
      </c>
      <c r="Y44" s="13">
        <f>'C５级比赛'!Y44*5.5</f>
        <v>309.489740100634</v>
      </c>
      <c r="Z44" s="13">
        <f>'C５级比赛'!Z44*5.5</f>
        <v>271.281130211667</v>
      </c>
      <c r="AA44" s="13">
        <f>'C５级比赛'!AA44*5.5</f>
        <v>241.470017001593</v>
      </c>
      <c r="AB44" s="13">
        <f>'C５级比赛'!AB44*5.5</f>
        <v>219.73771547145</v>
      </c>
      <c r="AC44" s="13">
        <f>'C５级比赛'!AC44*5.5</f>
        <v>181.601417745</v>
      </c>
      <c r="AD44" s="13">
        <f>'C５级比赛'!AD44*5.5</f>
        <v>155.842351398191</v>
      </c>
      <c r="AE44" s="13">
        <f>'C５级比赛'!AE44*5.5</f>
        <v>136.483053087857</v>
      </c>
      <c r="AF44" s="29">
        <f>'C５级比赛'!AF44*5.5</f>
        <v>121.402052746657</v>
      </c>
      <c r="AG44" s="29">
        <f>'C５级比赛'!AG44*5.5</f>
        <v>109.322246503209</v>
      </c>
      <c r="AH44" s="29">
        <f>'C５级比赛'!AH44*5.5</f>
        <v>73.0025632795515</v>
      </c>
      <c r="AI44" s="29">
        <f>'C５级比赛'!AI44*5.5</f>
        <v>54.7974352796633</v>
      </c>
      <c r="AJ44" s="29">
        <f>'C５级比赛'!AJ44*5.5</f>
        <v>43.8598234473952</v>
      </c>
      <c r="AK44" s="29">
        <f>'C５级比赛'!AK44*5.5</f>
        <v>29.259349596731</v>
      </c>
      <c r="AL44" s="29">
        <f>'C５级比赛'!AL44*5.5</f>
        <v>21.3420469572115</v>
      </c>
      <c r="AM44" s="29">
        <f>'C５级比赛'!AM44*5.5</f>
        <v>14.232770822231</v>
      </c>
      <c r="AN44" s="29">
        <f>'C５级比赛'!AN44*5.5</f>
        <v>10.6763563239224</v>
      </c>
      <c r="AO44" s="29">
        <f>'C５级比赛'!AO44*5.5</f>
        <v>7.11875674913987</v>
      </c>
      <c r="AP44" s="29">
        <f>'C５级比赛'!AP44*5.5</f>
        <v>5.33951237294895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</row>
    <row r="45" spans="1:183">
      <c r="A45" s="22" t="s">
        <v>83</v>
      </c>
      <c r="B45" s="16">
        <f>'C５级比赛'!B45*5.5</f>
        <v>6103.8254297625</v>
      </c>
      <c r="C45" s="16">
        <f>'C５级比赛'!C45*5.5</f>
        <v>5554.48114108387</v>
      </c>
      <c r="D45" s="16">
        <f>'C５级比赛'!D45*5.5</f>
        <v>5035.65597955406</v>
      </c>
      <c r="E45" s="16">
        <f>'C５级比赛'!E45*5.5</f>
        <v>4699.94558091712</v>
      </c>
      <c r="F45" s="16">
        <f>'C５级比赛'!F45*5.5</f>
        <v>4394.754309429</v>
      </c>
      <c r="G45" s="16">
        <f>'C５级比赛'!G45*5.5</f>
        <v>3662.2952578575</v>
      </c>
      <c r="H45" s="16">
        <f>'C５级比赛'!H45*5.5</f>
        <v>3139.11022102071</v>
      </c>
      <c r="I45" s="16">
        <f>'C５级比赛'!I45*5.5</f>
        <v>2746.72144339312</v>
      </c>
      <c r="J45" s="16">
        <f>'C５级比赛'!J45*5.5</f>
        <v>2441.530171905</v>
      </c>
      <c r="K45" s="16">
        <f>'C５级比赛'!K45*5.5</f>
        <v>2197.3771547145</v>
      </c>
      <c r="L45" s="16">
        <f>'C５级比赛'!L45*5.5</f>
        <v>1997.615595195</v>
      </c>
      <c r="M45" s="16">
        <f>'C５级比赛'!M45*5.5</f>
        <v>1831.14762892875</v>
      </c>
      <c r="N45" s="16">
        <f>'C５级比赛'!N45*5.5</f>
        <v>1690.29011901115</v>
      </c>
      <c r="O45" s="16">
        <f>'C５级比赛'!O45*5.5</f>
        <v>1569.55511051036</v>
      </c>
      <c r="P45" s="16">
        <f>'C５级比赛'!P45*5.5</f>
        <v>1464.918103143</v>
      </c>
      <c r="Q45" s="16">
        <f>'C５级比赛'!Q45*5.5</f>
        <v>1373.36072169656</v>
      </c>
      <c r="R45" s="16">
        <f>'C５级比赛'!R45*5.5</f>
        <v>1220.7650859525</v>
      </c>
      <c r="S45" s="16">
        <f>'C５级比赛'!S45*5.5</f>
        <v>1098.68857735725</v>
      </c>
      <c r="T45" s="16">
        <f>'C５级比赛'!T45*5.5</f>
        <v>845.145059505577</v>
      </c>
      <c r="U45" s="16">
        <f>'C５级比赛'!U45*5.5</f>
        <v>732.4590515715</v>
      </c>
      <c r="V45" s="16">
        <f>'C５级比赛'!V45*5.5</f>
        <v>535.945647491341</v>
      </c>
      <c r="W45" s="16">
        <f>'C５级比赛'!W45*5.5</f>
        <v>430.858265630294</v>
      </c>
      <c r="X45" s="16">
        <f>'C５级比赛'!X45*5.5</f>
        <v>360.225763067951</v>
      </c>
      <c r="Y45" s="16">
        <f>'C５级比赛'!Y45*5.5</f>
        <v>309.489740100634</v>
      </c>
      <c r="Z45" s="16">
        <f>'C５级比赛'!Z45*5.5</f>
        <v>271.281130211667</v>
      </c>
      <c r="AA45" s="16">
        <f>'C５级比赛'!AA45*5.5</f>
        <v>241.470017001593</v>
      </c>
      <c r="AB45" s="16">
        <f>'C５级比赛'!AB45*5.5</f>
        <v>219.73771547145</v>
      </c>
      <c r="AC45" s="16">
        <f>'C５级比赛'!AC45*5.5</f>
        <v>181.601417745</v>
      </c>
      <c r="AD45" s="16">
        <f>'C５级比赛'!AD45*5.5</f>
        <v>155.842351398191</v>
      </c>
      <c r="AE45" s="16">
        <f>'C５级比赛'!AE45*5.5</f>
        <v>136.483053087857</v>
      </c>
      <c r="AF45" s="25">
        <f>'C５级比赛'!AF45*5.5</f>
        <v>121.402052746657</v>
      </c>
      <c r="AG45" s="25">
        <f>'C５级比赛'!AG45*5.5</f>
        <v>109.322246503209</v>
      </c>
      <c r="AH45" s="25">
        <f>'C５级比赛'!AH45*5.5</f>
        <v>73.0025632795515</v>
      </c>
      <c r="AI45" s="25">
        <f>'C５级比赛'!AI45*5.5</f>
        <v>54.7974352796633</v>
      </c>
      <c r="AJ45" s="25">
        <f>'C５级比赛'!AJ45*5.5</f>
        <v>43.8598234473952</v>
      </c>
      <c r="AK45" s="25">
        <f>'C５级比赛'!AK45*5.5</f>
        <v>29.259349596731</v>
      </c>
      <c r="AL45" s="25">
        <f>'C５级比赛'!AL45*5.5</f>
        <v>21.3420469572115</v>
      </c>
      <c r="AM45" s="25">
        <f>'C５级比赛'!AM45*5.5</f>
        <v>14.232770822231</v>
      </c>
      <c r="AN45" s="25">
        <f>'C５级比赛'!AN45*5.5</f>
        <v>10.6763563239224</v>
      </c>
      <c r="AO45" s="25">
        <f>'C５级比赛'!AO45*5.5</f>
        <v>7.11875674913987</v>
      </c>
      <c r="AP45" s="25">
        <f>'C５级比赛'!AP45*5.5</f>
        <v>5.33951237294895</v>
      </c>
      <c r="AQ45" s="24"/>
      <c r="AR45" s="24"/>
      <c r="AS45" s="24"/>
      <c r="AT45" s="24"/>
      <c r="AU45" s="24"/>
      <c r="AV45" s="24"/>
      <c r="AW45" s="24"/>
      <c r="AX45" s="24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</row>
    <row r="46" s="5" customFormat="1" spans="1:183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4"/>
      <c r="AR46" s="24"/>
      <c r="AS46" s="24"/>
      <c r="AT46" s="24"/>
      <c r="AU46" s="24"/>
      <c r="AV46" s="24"/>
      <c r="AW46" s="24"/>
      <c r="AX46" s="24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</row>
    <row r="47" s="5" customFormat="1" spans="1:183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4"/>
      <c r="AR47" s="24"/>
      <c r="AS47" s="24"/>
      <c r="AT47" s="24"/>
      <c r="AU47" s="24"/>
      <c r="AV47" s="24"/>
      <c r="AW47" s="24"/>
      <c r="AX47" s="24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</row>
    <row r="48" s="5" customFormat="1" spans="1:183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4"/>
      <c r="AR48" s="24"/>
      <c r="AS48" s="24"/>
      <c r="AT48" s="24"/>
      <c r="AU48" s="24"/>
      <c r="AV48" s="24"/>
      <c r="AW48" s="24"/>
      <c r="AX48" s="24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41"/>
      <c r="FF48" s="41"/>
      <c r="FG48" s="41"/>
      <c r="FH48" s="41"/>
      <c r="FI48" s="41"/>
      <c r="FJ48" s="41"/>
      <c r="FK48" s="41"/>
      <c r="FL48" s="41"/>
      <c r="FM48" s="41"/>
      <c r="FN48" s="41"/>
      <c r="FO48" s="41"/>
      <c r="FP48" s="41"/>
      <c r="FQ48" s="41"/>
      <c r="FR48" s="41"/>
      <c r="FS48" s="41"/>
      <c r="FT48" s="41"/>
      <c r="FU48" s="41"/>
      <c r="FV48" s="41"/>
      <c r="FW48" s="41"/>
      <c r="FX48" s="41"/>
      <c r="FY48" s="41"/>
      <c r="FZ48" s="41"/>
      <c r="GA48" s="41"/>
    </row>
    <row r="49" s="5" customFormat="1" spans="1:183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4"/>
      <c r="AR49" s="24"/>
      <c r="AS49" s="24"/>
      <c r="AT49" s="24"/>
      <c r="AU49" s="24"/>
      <c r="AV49" s="24"/>
      <c r="AW49" s="24"/>
      <c r="AX49" s="24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41"/>
      <c r="FF49" s="41"/>
      <c r="FG49" s="41"/>
      <c r="FH49" s="41"/>
      <c r="FI49" s="41"/>
      <c r="FJ49" s="41"/>
      <c r="FK49" s="41"/>
      <c r="FL49" s="41"/>
      <c r="FM49" s="41"/>
      <c r="FN49" s="41"/>
      <c r="FO49" s="41"/>
      <c r="FP49" s="41"/>
      <c r="FQ49" s="41"/>
      <c r="FR49" s="41"/>
      <c r="FS49" s="41"/>
      <c r="FT49" s="41"/>
      <c r="FU49" s="41"/>
      <c r="FV49" s="41"/>
      <c r="FW49" s="41"/>
      <c r="FX49" s="41"/>
      <c r="FY49" s="41"/>
      <c r="FZ49" s="41"/>
      <c r="GA49" s="41"/>
    </row>
    <row r="50" s="5" customFormat="1" spans="1:183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4"/>
      <c r="AR50" s="24"/>
      <c r="AS50" s="24"/>
      <c r="AT50" s="24"/>
      <c r="AU50" s="24"/>
      <c r="AV50" s="24"/>
      <c r="AW50" s="24"/>
      <c r="AX50" s="24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41"/>
      <c r="EP50" s="41"/>
      <c r="EQ50" s="41"/>
      <c r="ER50" s="41"/>
      <c r="ES50" s="41"/>
      <c r="ET50" s="41"/>
      <c r="EU50" s="41"/>
      <c r="EV50" s="41"/>
      <c r="EW50" s="41"/>
      <c r="EX50" s="41"/>
      <c r="EY50" s="41"/>
      <c r="EZ50" s="41"/>
      <c r="FA50" s="41"/>
      <c r="FB50" s="41"/>
      <c r="FC50" s="41"/>
      <c r="FD50" s="41"/>
      <c r="FE50" s="41"/>
      <c r="FF50" s="41"/>
      <c r="FG50" s="41"/>
      <c r="FH50" s="41"/>
      <c r="FI50" s="41"/>
      <c r="FJ50" s="41"/>
      <c r="FK50" s="41"/>
      <c r="FL50" s="41"/>
      <c r="FM50" s="41"/>
      <c r="FN50" s="41"/>
      <c r="FO50" s="41"/>
      <c r="FP50" s="41"/>
      <c r="FQ50" s="41"/>
      <c r="FR50" s="41"/>
      <c r="FS50" s="41"/>
      <c r="FT50" s="41"/>
      <c r="FU50" s="41"/>
      <c r="FV50" s="41"/>
      <c r="FW50" s="41"/>
      <c r="FX50" s="41"/>
      <c r="FY50" s="41"/>
      <c r="FZ50" s="41"/>
      <c r="GA50" s="41"/>
    </row>
    <row r="51" s="5" customFormat="1" spans="1:183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4"/>
      <c r="AR51" s="24"/>
      <c r="AS51" s="24"/>
      <c r="AT51" s="24"/>
      <c r="AU51" s="24"/>
      <c r="AV51" s="24"/>
      <c r="AW51" s="24"/>
      <c r="AX51" s="24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41"/>
      <c r="FF51" s="41"/>
      <c r="FG51" s="41"/>
      <c r="FH51" s="41"/>
      <c r="FI51" s="41"/>
      <c r="FJ51" s="41"/>
      <c r="FK51" s="41"/>
      <c r="FL51" s="41"/>
      <c r="FM51" s="41"/>
      <c r="FN51" s="41"/>
      <c r="FO51" s="41"/>
      <c r="FP51" s="41"/>
      <c r="FQ51" s="41"/>
      <c r="FR51" s="41"/>
      <c r="FS51" s="41"/>
      <c r="FT51" s="41"/>
      <c r="FU51" s="41"/>
      <c r="FV51" s="41"/>
      <c r="FW51" s="41"/>
      <c r="FX51" s="41"/>
      <c r="FY51" s="41"/>
      <c r="FZ51" s="41"/>
      <c r="GA51" s="41"/>
    </row>
    <row r="52" s="5" customFormat="1" spans="1:183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4"/>
      <c r="AR52" s="24"/>
      <c r="AS52" s="24"/>
      <c r="AT52" s="24"/>
      <c r="AU52" s="24"/>
      <c r="AV52" s="24"/>
      <c r="AW52" s="24"/>
      <c r="AX52" s="24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41"/>
      <c r="FF52" s="41"/>
      <c r="FG52" s="41"/>
      <c r="FH52" s="41"/>
      <c r="FI52" s="41"/>
      <c r="FJ52" s="41"/>
      <c r="FK52" s="41"/>
      <c r="FL52" s="41"/>
      <c r="FM52" s="41"/>
      <c r="FN52" s="41"/>
      <c r="FO52" s="41"/>
      <c r="FP52" s="41"/>
      <c r="FQ52" s="41"/>
      <c r="FR52" s="41"/>
      <c r="FS52" s="41"/>
      <c r="FT52" s="41"/>
      <c r="FU52" s="41"/>
      <c r="FV52" s="41"/>
      <c r="FW52" s="41"/>
      <c r="FX52" s="41"/>
      <c r="FY52" s="41"/>
      <c r="FZ52" s="41"/>
      <c r="GA52" s="41"/>
    </row>
    <row r="53" s="5" customFormat="1" spans="1:18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41"/>
      <c r="FF53" s="41"/>
      <c r="FG53" s="41"/>
      <c r="FH53" s="41"/>
      <c r="FI53" s="41"/>
      <c r="FJ53" s="41"/>
      <c r="FK53" s="41"/>
      <c r="FL53" s="41"/>
      <c r="FM53" s="41"/>
      <c r="FN53" s="41"/>
      <c r="FO53" s="41"/>
      <c r="FP53" s="41"/>
      <c r="FQ53" s="41"/>
      <c r="FR53" s="41"/>
      <c r="FS53" s="41"/>
      <c r="FT53" s="41"/>
      <c r="FU53" s="41"/>
      <c r="FV53" s="41"/>
      <c r="FW53" s="41"/>
      <c r="FX53" s="41"/>
      <c r="FY53" s="41"/>
      <c r="FZ53" s="41"/>
      <c r="GA53" s="41"/>
    </row>
    <row r="54" s="5" customFormat="1" spans="1:183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41"/>
      <c r="FF54" s="41"/>
      <c r="FG54" s="41"/>
      <c r="FH54" s="41"/>
      <c r="FI54" s="41"/>
      <c r="FJ54" s="41"/>
      <c r="FK54" s="41"/>
      <c r="FL54" s="41"/>
      <c r="FM54" s="41"/>
      <c r="FN54" s="41"/>
      <c r="FO54" s="41"/>
      <c r="FP54" s="41"/>
      <c r="FQ54" s="41"/>
      <c r="FR54" s="41"/>
      <c r="FS54" s="41"/>
      <c r="FT54" s="41"/>
      <c r="FU54" s="41"/>
      <c r="FV54" s="41"/>
      <c r="FW54" s="41"/>
      <c r="FX54" s="41"/>
      <c r="FY54" s="41"/>
      <c r="FZ54" s="41"/>
      <c r="GA54" s="41"/>
    </row>
    <row r="55" s="5" customFormat="1" spans="1:183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41"/>
      <c r="FF55" s="41"/>
      <c r="FG55" s="41"/>
      <c r="FH55" s="41"/>
      <c r="FI55" s="41"/>
      <c r="FJ55" s="41"/>
      <c r="FK55" s="41"/>
      <c r="FL55" s="41"/>
      <c r="FM55" s="41"/>
      <c r="FN55" s="41"/>
      <c r="FO55" s="41"/>
      <c r="FP55" s="41"/>
      <c r="FQ55" s="41"/>
      <c r="FR55" s="41"/>
      <c r="FS55" s="41"/>
      <c r="FT55" s="41"/>
      <c r="FU55" s="41"/>
      <c r="FV55" s="41"/>
      <c r="FW55" s="41"/>
      <c r="FX55" s="41"/>
      <c r="FY55" s="41"/>
      <c r="FZ55" s="41"/>
      <c r="GA55" s="41"/>
    </row>
    <row r="56" s="5" customFormat="1" spans="1:183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41"/>
      <c r="FF56" s="41"/>
      <c r="FG56" s="41"/>
      <c r="FH56" s="41"/>
      <c r="FI56" s="41"/>
      <c r="FJ56" s="41"/>
      <c r="FK56" s="41"/>
      <c r="FL56" s="41"/>
      <c r="FM56" s="41"/>
      <c r="FN56" s="41"/>
      <c r="FO56" s="41"/>
      <c r="FP56" s="41"/>
      <c r="FQ56" s="41"/>
      <c r="FR56" s="41"/>
      <c r="FS56" s="41"/>
      <c r="FT56" s="41"/>
      <c r="FU56" s="41"/>
      <c r="FV56" s="41"/>
      <c r="FW56" s="41"/>
      <c r="FX56" s="41"/>
      <c r="FY56" s="41"/>
      <c r="FZ56" s="41"/>
      <c r="GA56" s="41"/>
    </row>
    <row r="57" s="5" customFormat="1" spans="1:183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41"/>
      <c r="FF57" s="41"/>
      <c r="FG57" s="41"/>
      <c r="FH57" s="41"/>
      <c r="FI57" s="41"/>
      <c r="FJ57" s="41"/>
      <c r="FK57" s="41"/>
      <c r="FL57" s="41"/>
      <c r="FM57" s="41"/>
      <c r="FN57" s="41"/>
      <c r="FO57" s="41"/>
      <c r="FP57" s="41"/>
      <c r="FQ57" s="41"/>
      <c r="FR57" s="41"/>
      <c r="FS57" s="41"/>
      <c r="FT57" s="41"/>
      <c r="FU57" s="41"/>
      <c r="FV57" s="41"/>
      <c r="FW57" s="41"/>
      <c r="FX57" s="41"/>
      <c r="FY57" s="41"/>
      <c r="FZ57" s="41"/>
      <c r="GA57" s="41"/>
    </row>
    <row r="58" s="5" customFormat="1" spans="1:18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41"/>
      <c r="FF58" s="41"/>
      <c r="FG58" s="41"/>
      <c r="FH58" s="41"/>
      <c r="FI58" s="41"/>
      <c r="FJ58" s="41"/>
      <c r="FK58" s="41"/>
      <c r="FL58" s="41"/>
      <c r="FM58" s="41"/>
      <c r="FN58" s="41"/>
      <c r="FO58" s="41"/>
      <c r="FP58" s="41"/>
      <c r="FQ58" s="41"/>
      <c r="FR58" s="41"/>
      <c r="FS58" s="41"/>
      <c r="FT58" s="41"/>
      <c r="FU58" s="41"/>
      <c r="FV58" s="41"/>
      <c r="FW58" s="41"/>
      <c r="FX58" s="41"/>
      <c r="FY58" s="41"/>
      <c r="FZ58" s="41"/>
      <c r="GA58" s="41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F67"/>
  <sheetViews>
    <sheetView topLeftCell="X17" workbookViewId="0">
      <selection activeCell="AL38" sqref="AL38"/>
    </sheetView>
  </sheetViews>
  <sheetFormatPr defaultColWidth="9" defaultRowHeight="10.8"/>
  <cols>
    <col min="1" max="6" width="9" style="6"/>
    <col min="7" max="7" width="9.75" style="6" customWidth="1"/>
    <col min="8" max="31" width="9" style="6"/>
    <col min="32" max="35" width="9" style="7"/>
    <col min="36" max="36" width="9" style="6"/>
    <col min="37" max="37" width="11.3796296296296" style="6" customWidth="1"/>
    <col min="38" max="38" width="12.1296296296296" style="6" customWidth="1"/>
    <col min="39" max="39" width="12.75" style="6" customWidth="1"/>
    <col min="40" max="40" width="11.8796296296296" style="6" customWidth="1"/>
    <col min="41" max="41" width="12" style="6" customWidth="1"/>
    <col min="42" max="42" width="13" style="6" customWidth="1"/>
    <col min="43" max="16384" width="9" style="6"/>
  </cols>
  <sheetData>
    <row r="1" spans="1:8">
      <c r="A1" s="8" t="s">
        <v>90</v>
      </c>
      <c r="B1" s="8"/>
      <c r="C1" s="8"/>
      <c r="D1" s="8"/>
      <c r="E1" s="8"/>
      <c r="F1" s="8"/>
      <c r="G1" s="8"/>
      <c r="H1" s="8"/>
    </row>
    <row r="2" spans="1:1">
      <c r="A2" s="9"/>
    </row>
    <row r="3" s="1" customFormat="1" ht="21.6" spans="1:110">
      <c r="A3" s="10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11" t="s">
        <v>16</v>
      </c>
      <c r="Q3" s="11" t="s">
        <v>17</v>
      </c>
      <c r="R3" s="11" t="s">
        <v>18</v>
      </c>
      <c r="S3" s="11" t="s">
        <v>19</v>
      </c>
      <c r="T3" s="11" t="s">
        <v>20</v>
      </c>
      <c r="U3" s="11" t="s">
        <v>21</v>
      </c>
      <c r="V3" s="11" t="s">
        <v>22</v>
      </c>
      <c r="W3" s="11" t="s">
        <v>23</v>
      </c>
      <c r="X3" s="11" t="s">
        <v>24</v>
      </c>
      <c r="Y3" s="11" t="s">
        <v>25</v>
      </c>
      <c r="Z3" s="11" t="s">
        <v>26</v>
      </c>
      <c r="AA3" s="11" t="s">
        <v>27</v>
      </c>
      <c r="AB3" s="11" t="s">
        <v>28</v>
      </c>
      <c r="AC3" s="11" t="s">
        <v>29</v>
      </c>
      <c r="AD3" s="11" t="s">
        <v>30</v>
      </c>
      <c r="AE3" s="11" t="s">
        <v>31</v>
      </c>
      <c r="AF3" s="11" t="s">
        <v>32</v>
      </c>
      <c r="AG3" s="11" t="s">
        <v>33</v>
      </c>
      <c r="AH3" s="11" t="s">
        <v>34</v>
      </c>
      <c r="AI3" s="11" t="s">
        <v>35</v>
      </c>
      <c r="AJ3" s="11" t="s">
        <v>36</v>
      </c>
      <c r="AK3" s="11" t="s">
        <v>37</v>
      </c>
      <c r="AL3" s="11" t="s">
        <v>38</v>
      </c>
      <c r="AM3" s="11" t="s">
        <v>39</v>
      </c>
      <c r="AN3" s="11" t="s">
        <v>40</v>
      </c>
      <c r="AO3" s="11" t="s">
        <v>41</v>
      </c>
      <c r="AP3" s="11" t="s">
        <v>42</v>
      </c>
      <c r="AQ3" s="30"/>
      <c r="AR3" s="30"/>
      <c r="AS3" s="30"/>
      <c r="AT3" s="30"/>
      <c r="AU3" s="30"/>
      <c r="AV3" s="30"/>
      <c r="AW3" s="30"/>
      <c r="AX3" s="30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</row>
    <row r="4" s="2" customFormat="1" spans="1:110">
      <c r="A4" s="12">
        <v>2</v>
      </c>
      <c r="B4" s="13">
        <f>'C５级比赛'!B4*2</f>
        <v>10</v>
      </c>
      <c r="C4" s="38">
        <v>10</v>
      </c>
      <c r="D4" s="15">
        <v>5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4"/>
      <c r="AS4" s="24"/>
      <c r="AT4" s="24"/>
      <c r="AU4" s="24"/>
      <c r="AV4" s="24"/>
      <c r="AW4" s="24"/>
      <c r="AX4" s="2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</row>
    <row r="5" spans="1:110">
      <c r="A5" s="17" t="s">
        <v>43</v>
      </c>
      <c r="B5" s="18">
        <f>'C５级比赛'!B5*2</f>
        <v>12</v>
      </c>
      <c r="C5" s="18">
        <f>'C５级比赛'!C5*2</f>
        <v>8.4</v>
      </c>
      <c r="D5" s="38">
        <f>'C５级比赛'!D5*2</f>
        <v>20.4</v>
      </c>
      <c r="E5" s="15">
        <f>'C５级比赛'!E5*2</f>
        <v>5.1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8"/>
      <c r="X5" s="18"/>
      <c r="Y5" s="18"/>
      <c r="Z5" s="18"/>
      <c r="AA5" s="18"/>
      <c r="AB5" s="18"/>
      <c r="AC5" s="18"/>
      <c r="AD5" s="18"/>
      <c r="AE5" s="18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4"/>
      <c r="AR5" s="24"/>
      <c r="AS5" s="24"/>
      <c r="AT5" s="24"/>
      <c r="AU5" s="24"/>
      <c r="AV5" s="24"/>
      <c r="AW5" s="24"/>
      <c r="AX5" s="24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</row>
    <row r="6" spans="1:110">
      <c r="A6" s="17" t="s">
        <v>44</v>
      </c>
      <c r="B6" s="18">
        <f>'C５级比赛'!B6*2</f>
        <v>14</v>
      </c>
      <c r="C6" s="18">
        <f>'C５级比赛'!C6*2</f>
        <v>9.8</v>
      </c>
      <c r="D6" s="16">
        <f>'C５级比赛'!D6*2</f>
        <v>7</v>
      </c>
      <c r="E6" s="38">
        <f>'C５级比赛'!E6*2</f>
        <v>30.8</v>
      </c>
      <c r="F6" s="15">
        <f>'C５级比赛'!F6*2</f>
        <v>5.13333333333333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8"/>
      <c r="X6" s="18"/>
      <c r="Y6" s="18"/>
      <c r="Z6" s="18"/>
      <c r="AA6" s="18"/>
      <c r="AB6" s="18"/>
      <c r="AC6" s="18"/>
      <c r="AD6" s="16"/>
      <c r="AE6" s="16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4"/>
      <c r="AR6" s="24"/>
      <c r="AS6" s="24"/>
      <c r="AT6" s="24"/>
      <c r="AU6" s="24"/>
      <c r="AV6" s="24"/>
      <c r="AW6" s="24"/>
      <c r="AX6" s="24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1:110">
      <c r="A7" s="17" t="s">
        <v>45</v>
      </c>
      <c r="B7" s="18">
        <f>'C５级比赛'!B7*2</f>
        <v>17</v>
      </c>
      <c r="C7" s="18">
        <f>'C５级比赛'!C7*2</f>
        <v>11.9</v>
      </c>
      <c r="D7" s="16">
        <f>'C５级比赛'!D7*2</f>
        <v>8.5</v>
      </c>
      <c r="E7" s="16">
        <f>'C５级比赛'!E7*2</f>
        <v>5.95</v>
      </c>
      <c r="F7" s="38">
        <f>'C５级比赛'!F7*2</f>
        <v>43.35</v>
      </c>
      <c r="G7" s="15">
        <f>'C５级比赛'!G7*2</f>
        <v>5.41875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8"/>
      <c r="X7" s="18"/>
      <c r="Y7" s="18"/>
      <c r="Z7" s="18"/>
      <c r="AA7" s="18"/>
      <c r="AB7" s="18"/>
      <c r="AC7" s="18"/>
      <c r="AD7" s="16"/>
      <c r="AE7" s="16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4"/>
      <c r="AR7" s="24"/>
      <c r="AS7" s="24"/>
      <c r="AT7" s="24"/>
      <c r="AU7" s="24"/>
      <c r="AV7" s="24"/>
      <c r="AW7" s="24"/>
      <c r="AX7" s="2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="2" customFormat="1" spans="1:110">
      <c r="A8" s="19" t="s">
        <v>46</v>
      </c>
      <c r="B8" s="13">
        <f>'C５级比赛'!B8*2</f>
        <v>20</v>
      </c>
      <c r="C8" s="13">
        <f>'C５级比赛'!C8*2</f>
        <v>14</v>
      </c>
      <c r="D8" s="13">
        <f>'C５级比赛'!D8*2</f>
        <v>10</v>
      </c>
      <c r="E8" s="13">
        <f>'C５级比赛'!E8*2</f>
        <v>7</v>
      </c>
      <c r="F8" s="13">
        <f>'C５级比赛'!F8*2</f>
        <v>4</v>
      </c>
      <c r="G8" s="38">
        <f>'C５级比赛'!G8*2</f>
        <v>55</v>
      </c>
      <c r="H8" s="15">
        <f>'C５级比赛'!H8*2</f>
        <v>5.5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4"/>
      <c r="AR8" s="24"/>
      <c r="AS8" s="24"/>
      <c r="AT8" s="24"/>
      <c r="AU8" s="24"/>
      <c r="AV8" s="24"/>
      <c r="AW8" s="24"/>
      <c r="AX8" s="24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</row>
    <row r="9" spans="1:110">
      <c r="A9" s="17" t="s">
        <v>47</v>
      </c>
      <c r="B9" s="18">
        <f>'C５级比赛'!B9*2</f>
        <v>24</v>
      </c>
      <c r="C9" s="18">
        <f>'C５级比赛'!C9*2</f>
        <v>16.8</v>
      </c>
      <c r="D9" s="16">
        <f>'C５级比赛'!D9*2</f>
        <v>12</v>
      </c>
      <c r="E9" s="16">
        <f>'C５级比赛'!E9*2</f>
        <v>8.4</v>
      </c>
      <c r="F9" s="16">
        <f>'C５级比赛'!F9*2</f>
        <v>4.8</v>
      </c>
      <c r="G9" s="16">
        <f>'C５级比赛'!G9*2</f>
        <v>4</v>
      </c>
      <c r="H9" s="38">
        <f>'C５级比赛'!H9*2</f>
        <v>70</v>
      </c>
      <c r="I9" s="15">
        <f>'C５级比赛'!I9*2</f>
        <v>5.83333333333333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8"/>
      <c r="X9" s="18"/>
      <c r="Y9" s="18"/>
      <c r="Z9" s="18"/>
      <c r="AA9" s="18"/>
      <c r="AB9" s="18"/>
      <c r="AC9" s="18"/>
      <c r="AD9" s="16"/>
      <c r="AE9" s="16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4"/>
      <c r="AR9" s="24"/>
      <c r="AS9" s="24"/>
      <c r="AT9" s="24"/>
      <c r="AU9" s="24"/>
      <c r="AV9" s="24"/>
      <c r="AW9" s="24"/>
      <c r="AX9" s="24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</row>
    <row r="10" spans="1:110">
      <c r="A10" s="20" t="s">
        <v>48</v>
      </c>
      <c r="B10" s="18">
        <f>'C５级比赛'!B10*2</f>
        <v>27</v>
      </c>
      <c r="C10" s="18">
        <f>'C５级比赛'!C10*2</f>
        <v>18.9</v>
      </c>
      <c r="D10" s="16">
        <f>'C５级比赛'!D10*2</f>
        <v>13.5</v>
      </c>
      <c r="E10" s="16">
        <f>'C５级比赛'!E10*2</f>
        <v>9.45</v>
      </c>
      <c r="F10" s="16">
        <f>'C５级比赛'!F10*2</f>
        <v>5.4</v>
      </c>
      <c r="G10" s="16">
        <f>'C５级比赛'!G10*2</f>
        <v>4.5</v>
      </c>
      <c r="H10" s="16">
        <f>'C５级比赛'!H10*2</f>
        <v>3.85714285714286</v>
      </c>
      <c r="I10" s="38">
        <f>'C５级比赛'!I10*2</f>
        <v>82.6071428571429</v>
      </c>
      <c r="J10" s="15">
        <f>'C５级比赛'!J10*2</f>
        <v>5.90051020408163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8"/>
      <c r="X10" s="18"/>
      <c r="Y10" s="18"/>
      <c r="Z10" s="18"/>
      <c r="AA10" s="18"/>
      <c r="AB10" s="18"/>
      <c r="AC10" s="18"/>
      <c r="AD10" s="16"/>
      <c r="AE10" s="16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4"/>
      <c r="AR10" s="24"/>
      <c r="AS10" s="24"/>
      <c r="AT10" s="24"/>
      <c r="AU10" s="24"/>
      <c r="AV10" s="24"/>
      <c r="AW10" s="24"/>
      <c r="AX10" s="24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</row>
    <row r="11" spans="1:110">
      <c r="A11" s="20" t="s">
        <v>49</v>
      </c>
      <c r="B11" s="18">
        <f>'C５级比赛'!B11*2</f>
        <v>31</v>
      </c>
      <c r="C11" s="18">
        <f>'C５级比赛'!C11*2</f>
        <v>21.7</v>
      </c>
      <c r="D11" s="16">
        <f>'C５级比赛'!D11*2</f>
        <v>15.5</v>
      </c>
      <c r="E11" s="16">
        <f>'C５级比赛'!E11*2</f>
        <v>10.85</v>
      </c>
      <c r="F11" s="16">
        <f>'C５级比赛'!F11*2</f>
        <v>6.2</v>
      </c>
      <c r="G11" s="16">
        <f>'C５级比赛'!G11*2</f>
        <v>5.16666666666667</v>
      </c>
      <c r="H11" s="16">
        <f>'C５级比赛'!H11*2</f>
        <v>4.42857142857143</v>
      </c>
      <c r="I11" s="16">
        <f>'C５级比赛'!I11*2</f>
        <v>3.875</v>
      </c>
      <c r="J11" s="38">
        <f>'C５级比赛'!J11*2</f>
        <v>98.7202380952381</v>
      </c>
      <c r="K11" s="15">
        <f>'C５级比赛'!K11*2</f>
        <v>6.17001488095238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8"/>
      <c r="X11" s="18"/>
      <c r="Y11" s="18"/>
      <c r="Z11" s="18"/>
      <c r="AA11" s="18"/>
      <c r="AB11" s="18"/>
      <c r="AC11" s="18"/>
      <c r="AD11" s="16"/>
      <c r="AE11" s="16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4"/>
      <c r="AR11" s="24"/>
      <c r="AS11" s="24"/>
      <c r="AT11" s="24"/>
      <c r="AU11" s="24"/>
      <c r="AV11" s="24"/>
      <c r="AW11" s="24"/>
      <c r="AX11" s="24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</row>
    <row r="12" spans="1:110">
      <c r="A12" s="20" t="s">
        <v>50</v>
      </c>
      <c r="B12" s="18">
        <f>'C５级比赛'!B12*2</f>
        <v>34</v>
      </c>
      <c r="C12" s="18">
        <f>'C５级比赛'!C12*2</f>
        <v>23.8</v>
      </c>
      <c r="D12" s="16">
        <f>'C５级比赛'!D12*2</f>
        <v>17</v>
      </c>
      <c r="E12" s="16">
        <f>'C５级比赛'!E12*2</f>
        <v>11.9</v>
      </c>
      <c r="F12" s="16">
        <f>'C５级比赛'!F12*2</f>
        <v>6.8</v>
      </c>
      <c r="G12" s="16">
        <f>'C５级比赛'!G12*2</f>
        <v>5.66666666666667</v>
      </c>
      <c r="H12" s="16">
        <f>'C５级比赛'!H12*2</f>
        <v>4.85714285714286</v>
      </c>
      <c r="I12" s="16">
        <f>'C５级比赛'!I12*2</f>
        <v>4.25</v>
      </c>
      <c r="J12" s="16">
        <f>'C５级比赛'!J12*2</f>
        <v>3.77777777777778</v>
      </c>
      <c r="K12" s="38">
        <f>'C５级比赛'!K12*2</f>
        <v>112.051587301587</v>
      </c>
      <c r="L12" s="15">
        <f>'C５级比赛'!L12*2</f>
        <v>6.22508818342152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8"/>
      <c r="X12" s="18"/>
      <c r="Y12" s="18"/>
      <c r="Z12" s="18"/>
      <c r="AA12" s="18"/>
      <c r="AB12" s="18"/>
      <c r="AC12" s="18"/>
      <c r="AD12" s="16"/>
      <c r="AE12" s="16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4"/>
      <c r="AR12" s="24"/>
      <c r="AS12" s="24"/>
      <c r="AT12" s="24"/>
      <c r="AU12" s="24"/>
      <c r="AV12" s="24"/>
      <c r="AW12" s="24"/>
      <c r="AX12" s="24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="3" customFormat="1" spans="1:50">
      <c r="A13" s="21" t="s">
        <v>51</v>
      </c>
      <c r="B13" s="18">
        <f>'C５级比赛'!B13*2</f>
        <v>37</v>
      </c>
      <c r="C13" s="18">
        <f>'C５级比赛'!C13*2</f>
        <v>25.9</v>
      </c>
      <c r="D13" s="16">
        <f>'C５级比赛'!D13*2</f>
        <v>18.5</v>
      </c>
      <c r="E13" s="16">
        <f>'C５级比赛'!E13*2</f>
        <v>12.95</v>
      </c>
      <c r="F13" s="16">
        <f>'C５级比赛'!F13*2</f>
        <v>7.4</v>
      </c>
      <c r="G13" s="16">
        <f>'C５级比赛'!G13*2</f>
        <v>6.16666666666667</v>
      </c>
      <c r="H13" s="16">
        <f>'C５级比赛'!H13*2</f>
        <v>5.28571428571429</v>
      </c>
      <c r="I13" s="16">
        <f>'C５级比赛'!I13*2</f>
        <v>4.625</v>
      </c>
      <c r="J13" s="16">
        <f>'C５级比赛'!J13*2</f>
        <v>4.11111111111111</v>
      </c>
      <c r="K13" s="16">
        <f>'C５级比赛'!K13*2</f>
        <v>3.7</v>
      </c>
      <c r="L13" s="38">
        <f>'C５级比赛'!L13*2</f>
        <v>125.638492063492</v>
      </c>
      <c r="M13" s="15">
        <f>'C５级比赛'!M13*2</f>
        <v>6.2819246031746</v>
      </c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4"/>
      <c r="AR13" s="24"/>
      <c r="AS13" s="24"/>
      <c r="AT13" s="24"/>
      <c r="AU13" s="24"/>
      <c r="AV13" s="24"/>
      <c r="AW13" s="24"/>
      <c r="AX13" s="24"/>
    </row>
    <row r="14" spans="1:110">
      <c r="A14" s="20" t="s">
        <v>52</v>
      </c>
      <c r="B14" s="18">
        <f>'C５级比赛'!B14*2</f>
        <v>40</v>
      </c>
      <c r="C14" s="18">
        <f>'C５级比赛'!C14*2</f>
        <v>28</v>
      </c>
      <c r="D14" s="16">
        <f>'C５级比赛'!D14*2</f>
        <v>20</v>
      </c>
      <c r="E14" s="16">
        <f>'C５级比赛'!E14*2</f>
        <v>14</v>
      </c>
      <c r="F14" s="16">
        <f>'C５级比赛'!F14*2</f>
        <v>8</v>
      </c>
      <c r="G14" s="16">
        <f>'C５级比赛'!G14*2</f>
        <v>6.66666666666667</v>
      </c>
      <c r="H14" s="16">
        <f>'C５级比赛'!H14*2</f>
        <v>5.71428571428571</v>
      </c>
      <c r="I14" s="16">
        <f>'C５级比赛'!I14*2</f>
        <v>5</v>
      </c>
      <c r="J14" s="16">
        <f>'C５级比赛'!J14*2</f>
        <v>4.44444444444444</v>
      </c>
      <c r="K14" s="16">
        <f>'C５级比赛'!K14*2</f>
        <v>4</v>
      </c>
      <c r="L14" s="16">
        <f>'C５级比赛'!L14*2</f>
        <v>3.63636363636364</v>
      </c>
      <c r="M14" s="38">
        <f>'C５级比赛'!M14*2</f>
        <v>139.46176046176</v>
      </c>
      <c r="N14" s="15">
        <f>'C５级比赛'!N14*2</f>
        <v>6.33917093008002</v>
      </c>
      <c r="O14" s="16"/>
      <c r="P14" s="16"/>
      <c r="Q14" s="16"/>
      <c r="R14" s="16"/>
      <c r="S14" s="16"/>
      <c r="T14" s="16"/>
      <c r="U14" s="16"/>
      <c r="V14" s="16"/>
      <c r="W14" s="18"/>
      <c r="X14" s="18"/>
      <c r="Y14" s="18"/>
      <c r="Z14" s="18"/>
      <c r="AA14" s="18"/>
      <c r="AB14" s="18"/>
      <c r="AC14" s="18"/>
      <c r="AD14" s="16"/>
      <c r="AE14" s="16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4"/>
      <c r="AR14" s="24"/>
      <c r="AS14" s="24"/>
      <c r="AT14" s="24"/>
      <c r="AU14" s="24"/>
      <c r="AV14" s="24"/>
      <c r="AW14" s="24"/>
      <c r="AX14" s="24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</row>
    <row r="15" spans="1:110">
      <c r="A15" s="20" t="s">
        <v>53</v>
      </c>
      <c r="B15" s="18">
        <f>'C５级比赛'!B15*2</f>
        <v>43</v>
      </c>
      <c r="C15" s="18">
        <f>'C５级比赛'!C15*2</f>
        <v>30.1</v>
      </c>
      <c r="D15" s="16">
        <f>'C５级比赛'!D15*2</f>
        <v>21.5</v>
      </c>
      <c r="E15" s="16">
        <f>'C５级比赛'!E15*2</f>
        <v>15.05</v>
      </c>
      <c r="F15" s="16">
        <f>'C５级比赛'!F15*2</f>
        <v>8.6</v>
      </c>
      <c r="G15" s="16">
        <f>'C５级比赛'!G15*2</f>
        <v>7.16666666666667</v>
      </c>
      <c r="H15" s="16">
        <f>'C５级比赛'!H15*2</f>
        <v>6.14285714285714</v>
      </c>
      <c r="I15" s="16">
        <f>'C５级比赛'!I15*2</f>
        <v>5.375</v>
      </c>
      <c r="J15" s="16">
        <f>'C５级比赛'!J15*2</f>
        <v>4.77777777777778</v>
      </c>
      <c r="K15" s="16">
        <f>'C５级比赛'!K15*2</f>
        <v>4.3</v>
      </c>
      <c r="L15" s="16">
        <f>'C５级比赛'!L15*2</f>
        <v>3.90909090909091</v>
      </c>
      <c r="M15" s="16">
        <f>'C５级比赛'!M15*2</f>
        <v>3.58333333333333</v>
      </c>
      <c r="N15" s="38">
        <f>'C５级比赛'!N15*2</f>
        <v>153.504725829726</v>
      </c>
      <c r="O15" s="15">
        <f>'C５级比赛'!O15*2</f>
        <v>6.39603024290524</v>
      </c>
      <c r="P15" s="16"/>
      <c r="Q15" s="16"/>
      <c r="R15" s="16"/>
      <c r="S15" s="16"/>
      <c r="T15" s="16"/>
      <c r="U15" s="16"/>
      <c r="V15" s="16"/>
      <c r="W15" s="18"/>
      <c r="X15" s="18"/>
      <c r="Y15" s="18"/>
      <c r="Z15" s="18"/>
      <c r="AA15" s="18"/>
      <c r="AB15" s="18"/>
      <c r="AC15" s="18"/>
      <c r="AD15" s="16"/>
      <c r="AE15" s="16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4"/>
      <c r="AR15" s="24"/>
      <c r="AS15" s="24"/>
      <c r="AT15" s="24"/>
      <c r="AU15" s="24"/>
      <c r="AV15" s="24"/>
      <c r="AW15" s="24"/>
      <c r="AX15" s="24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</row>
    <row r="16" spans="1:110">
      <c r="A16" s="20" t="s">
        <v>54</v>
      </c>
      <c r="B16" s="18">
        <f>'C５级比赛'!B16*2</f>
        <v>45.6</v>
      </c>
      <c r="C16" s="18">
        <f>'C５级比赛'!C16*2</f>
        <v>31.92</v>
      </c>
      <c r="D16" s="16">
        <f>'C５级比赛'!D16*2</f>
        <v>22.8</v>
      </c>
      <c r="E16" s="16">
        <f>'C５级比赛'!E16*2</f>
        <v>15.96</v>
      </c>
      <c r="F16" s="16">
        <f>'C５级比赛'!F16*2</f>
        <v>9.12</v>
      </c>
      <c r="G16" s="16">
        <f>'C５级比赛'!G16*2</f>
        <v>7.6</v>
      </c>
      <c r="H16" s="16">
        <f>'C５级比赛'!H16*2</f>
        <v>6.51428571428571</v>
      </c>
      <c r="I16" s="16">
        <f>'C５级比赛'!I16*2</f>
        <v>5.7</v>
      </c>
      <c r="J16" s="16">
        <f>'C５级比赛'!J16*2</f>
        <v>5.06666666666667</v>
      </c>
      <c r="K16" s="16">
        <f>'C５级比赛'!K16*2</f>
        <v>4.56</v>
      </c>
      <c r="L16" s="16">
        <f>'C５级比赛'!L16*2</f>
        <v>4.14545454545455</v>
      </c>
      <c r="M16" s="16">
        <f>'C５级比赛'!M16*2</f>
        <v>3.8</v>
      </c>
      <c r="N16" s="16">
        <f>'C５级比赛'!N16*2</f>
        <v>3.50769230769231</v>
      </c>
      <c r="O16" s="38">
        <f>'C５级比赛'!O16*2</f>
        <v>166.294099234099</v>
      </c>
      <c r="P16" s="15">
        <f>'C５级比赛'!P16*2</f>
        <v>6.3959268936192</v>
      </c>
      <c r="Q16" s="16"/>
      <c r="R16" s="16"/>
      <c r="S16" s="16"/>
      <c r="T16" s="16"/>
      <c r="U16" s="16"/>
      <c r="V16" s="16"/>
      <c r="W16" s="18"/>
      <c r="X16" s="18"/>
      <c r="Y16" s="18"/>
      <c r="Z16" s="18"/>
      <c r="AA16" s="18"/>
      <c r="AB16" s="18"/>
      <c r="AC16" s="18"/>
      <c r="AD16" s="16"/>
      <c r="AE16" s="16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4"/>
      <c r="AR16" s="24"/>
      <c r="AS16" s="24"/>
      <c r="AT16" s="24"/>
      <c r="AU16" s="24"/>
      <c r="AV16" s="24"/>
      <c r="AW16" s="24"/>
      <c r="AX16" s="24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</row>
    <row r="17" spans="1:110">
      <c r="A17" s="20" t="s">
        <v>55</v>
      </c>
      <c r="B17" s="18">
        <f>'C５级比赛'!B17*2</f>
        <v>48.8</v>
      </c>
      <c r="C17" s="18">
        <f>'C５级比赛'!C17*2</f>
        <v>34.16</v>
      </c>
      <c r="D17" s="16">
        <f>'C５级比赛'!D17*2</f>
        <v>24.4</v>
      </c>
      <c r="E17" s="16">
        <f>'C５级比赛'!E17*2</f>
        <v>17.08</v>
      </c>
      <c r="F17" s="16">
        <f>'C５级比赛'!F17*2</f>
        <v>9.76</v>
      </c>
      <c r="G17" s="16">
        <f>'C５级比赛'!G17*2</f>
        <v>8.13333333333333</v>
      </c>
      <c r="H17" s="16">
        <f>'C５级比赛'!H17*2</f>
        <v>6.97142857142857</v>
      </c>
      <c r="I17" s="16">
        <f>'C５级比赛'!I17*2</f>
        <v>6.1</v>
      </c>
      <c r="J17" s="16">
        <f>'C５级比赛'!J17*2</f>
        <v>5.42222222222222</v>
      </c>
      <c r="K17" s="16">
        <f>'C５级比赛'!K17*2</f>
        <v>4.88</v>
      </c>
      <c r="L17" s="16">
        <f>'C５级比赛'!L17*2</f>
        <v>4.43636363636364</v>
      </c>
      <c r="M17" s="16">
        <f>'C５级比赛'!M17*2</f>
        <v>4.06666666666667</v>
      </c>
      <c r="N17" s="16">
        <f>'C５级比赛'!N17*2</f>
        <v>3.75384615384615</v>
      </c>
      <c r="O17" s="16">
        <f>'C５级比赛'!O17*2</f>
        <v>3.48571428571429</v>
      </c>
      <c r="P17" s="38">
        <f>'C５级比赛'!P17*2</f>
        <v>181.449574869575</v>
      </c>
      <c r="Q17" s="15">
        <f>'C５级比赛'!Q17*2</f>
        <v>6.48034195962767</v>
      </c>
      <c r="R17" s="16"/>
      <c r="S17" s="16"/>
      <c r="T17" s="16"/>
      <c r="U17" s="16"/>
      <c r="V17" s="16"/>
      <c r="W17" s="18"/>
      <c r="X17" s="18"/>
      <c r="Y17" s="18"/>
      <c r="Z17" s="18"/>
      <c r="AA17" s="18"/>
      <c r="AB17" s="18"/>
      <c r="AC17" s="18"/>
      <c r="AD17" s="16"/>
      <c r="AE17" s="16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4"/>
      <c r="AR17" s="24"/>
      <c r="AS17" s="24"/>
      <c r="AT17" s="24"/>
      <c r="AU17" s="24"/>
      <c r="AV17" s="24"/>
      <c r="AW17" s="24"/>
      <c r="AX17" s="24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</row>
    <row r="18" spans="1:110">
      <c r="A18" s="20" t="s">
        <v>56</v>
      </c>
      <c r="B18" s="18">
        <f>'C５级比赛'!B18*2</f>
        <v>52</v>
      </c>
      <c r="C18" s="18">
        <f>'C５级比赛'!C18*2</f>
        <v>36.4</v>
      </c>
      <c r="D18" s="16">
        <f>'C５级比赛'!D18*2</f>
        <v>26</v>
      </c>
      <c r="E18" s="16">
        <f>'C５级比赛'!E18*2</f>
        <v>18.2</v>
      </c>
      <c r="F18" s="16">
        <f>'C５级比赛'!F18*2</f>
        <v>10.4</v>
      </c>
      <c r="G18" s="16">
        <f>'C５级比赛'!G18*2</f>
        <v>8.66666666666667</v>
      </c>
      <c r="H18" s="16">
        <f>'C５级比赛'!H18*2</f>
        <v>7.42857142857143</v>
      </c>
      <c r="I18" s="16">
        <f>'C５级比赛'!I18*2</f>
        <v>6.5</v>
      </c>
      <c r="J18" s="16">
        <f>'C５级比赛'!J18*2</f>
        <v>5.77777777777778</v>
      </c>
      <c r="K18" s="16">
        <f>'C５级比赛'!K18*2</f>
        <v>5.2</v>
      </c>
      <c r="L18" s="16">
        <f>'C５级比赛'!L18*2</f>
        <v>4.72727272727273</v>
      </c>
      <c r="M18" s="16">
        <f>'C５级比赛'!M18*2</f>
        <v>4.33333333333333</v>
      </c>
      <c r="N18" s="16">
        <f>'C５级比赛'!N18*2</f>
        <v>4</v>
      </c>
      <c r="O18" s="16">
        <f>'C５级比赛'!O18*2</f>
        <v>3.71428571428571</v>
      </c>
      <c r="P18" s="16">
        <f>'C５级比赛'!P18*2</f>
        <v>3.46666666666667</v>
      </c>
      <c r="Q18" s="38">
        <f>'C５级比赛'!Q18*2</f>
        <v>196.814574314574</v>
      </c>
      <c r="R18" s="15">
        <f>'C５级比赛'!R18*2</f>
        <v>6.56048581048581</v>
      </c>
      <c r="S18" s="16"/>
      <c r="T18" s="16"/>
      <c r="U18" s="16"/>
      <c r="V18" s="16"/>
      <c r="W18" s="18"/>
      <c r="X18" s="18"/>
      <c r="Y18" s="18"/>
      <c r="Z18" s="18"/>
      <c r="AA18" s="18"/>
      <c r="AB18" s="18"/>
      <c r="AC18" s="18"/>
      <c r="AD18" s="16"/>
      <c r="AE18" s="16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4"/>
      <c r="AR18" s="24"/>
      <c r="AS18" s="24"/>
      <c r="AT18" s="24"/>
      <c r="AU18" s="24"/>
      <c r="AV18" s="24"/>
      <c r="AW18" s="24"/>
      <c r="AX18" s="24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</row>
    <row r="19" spans="1:110">
      <c r="A19" s="20" t="s">
        <v>57</v>
      </c>
      <c r="B19" s="18">
        <f>'C５级比赛'!B19*2</f>
        <v>59</v>
      </c>
      <c r="C19" s="18">
        <f>'C５级比赛'!C19*2</f>
        <v>41.3</v>
      </c>
      <c r="D19" s="16">
        <f>'C５级比赛'!D19*2</f>
        <v>29.5</v>
      </c>
      <c r="E19" s="16">
        <f>'C５级比赛'!E19*2</f>
        <v>20.65</v>
      </c>
      <c r="F19" s="16">
        <f>'C５级比赛'!F19*2</f>
        <v>11.8</v>
      </c>
      <c r="G19" s="16">
        <f>'C５级比赛'!G19*2</f>
        <v>9.83333333333333</v>
      </c>
      <c r="H19" s="16">
        <f>'C５级比赛'!H19*2</f>
        <v>8.42857142857143</v>
      </c>
      <c r="I19" s="16">
        <f>'C５级比赛'!I19*2</f>
        <v>7.375</v>
      </c>
      <c r="J19" s="16">
        <f>'C５级比赛'!J19*2</f>
        <v>6.55555555555556</v>
      </c>
      <c r="K19" s="16">
        <f>'C５级比赛'!K19*2</f>
        <v>5.9</v>
      </c>
      <c r="L19" s="16">
        <f>'C５级比赛'!L19*2</f>
        <v>5.36363636363636</v>
      </c>
      <c r="M19" s="16">
        <f>'C５级比赛'!M19*2</f>
        <v>4.91666666666667</v>
      </c>
      <c r="N19" s="16">
        <f>'C５级比赛'!N19*2</f>
        <v>4.53846153846154</v>
      </c>
      <c r="O19" s="16">
        <f>'C５级比赛'!O19*2</f>
        <v>4.21428571428571</v>
      </c>
      <c r="P19" s="16">
        <f>'C５级比赛'!P19*2</f>
        <v>3.93333333333333</v>
      </c>
      <c r="Q19" s="16">
        <f>'C５级比赛'!Q19*2</f>
        <v>3.6875</v>
      </c>
      <c r="R19" s="38">
        <f>'C５级比赛'!R19*2</f>
        <v>230.683843933844</v>
      </c>
      <c r="S19" s="15">
        <f>'C５级比赛'!S19*2</f>
        <v>6.5909669695384</v>
      </c>
      <c r="T19" s="16"/>
      <c r="U19" s="16"/>
      <c r="V19" s="16"/>
      <c r="W19" s="18"/>
      <c r="X19" s="18"/>
      <c r="Y19" s="18"/>
      <c r="Z19" s="18"/>
      <c r="AA19" s="18"/>
      <c r="AB19" s="18"/>
      <c r="AC19" s="18"/>
      <c r="AD19" s="16"/>
      <c r="AE19" s="16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4"/>
      <c r="AR19" s="24"/>
      <c r="AS19" s="24"/>
      <c r="AT19" s="24"/>
      <c r="AU19" s="24"/>
      <c r="AV19" s="24"/>
      <c r="AW19" s="24"/>
      <c r="AX19" s="24"/>
      <c r="AY19" s="36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</row>
    <row r="20" spans="1:110">
      <c r="A20" s="20" t="s">
        <v>58</v>
      </c>
      <c r="B20" s="18">
        <f>'C５级比赛'!B20*2</f>
        <v>67</v>
      </c>
      <c r="C20" s="18">
        <f>'C５级比赛'!C20*2</f>
        <v>46.9</v>
      </c>
      <c r="D20" s="16">
        <f>'C５级比赛'!D20*2</f>
        <v>33.5</v>
      </c>
      <c r="E20" s="16">
        <f>'C５级比赛'!E20*2</f>
        <v>23.45</v>
      </c>
      <c r="F20" s="16">
        <f>'C５级比赛'!F20*2</f>
        <v>13.4</v>
      </c>
      <c r="G20" s="16">
        <f>'C５级比赛'!G20*2</f>
        <v>11.1666666666667</v>
      </c>
      <c r="H20" s="16">
        <f>'C５级比赛'!H20*2</f>
        <v>9.57142857142857</v>
      </c>
      <c r="I20" s="16">
        <f>'C５级比赛'!I20*2</f>
        <v>8.375</v>
      </c>
      <c r="J20" s="16">
        <f>'C５级比赛'!J20*2</f>
        <v>7.44444444444444</v>
      </c>
      <c r="K20" s="16">
        <f>'C５级比赛'!K20*2</f>
        <v>6.7</v>
      </c>
      <c r="L20" s="16">
        <f>'C５级比赛'!L20*2</f>
        <v>6.09090909090909</v>
      </c>
      <c r="M20" s="16">
        <f>'C５级比赛'!M20*2</f>
        <v>5.58333333333333</v>
      </c>
      <c r="N20" s="16">
        <f>'C５级比赛'!N20*2</f>
        <v>5.15384615384615</v>
      </c>
      <c r="O20" s="16">
        <f>'C５级比赛'!O20*2</f>
        <v>4.78571428571429</v>
      </c>
      <c r="P20" s="16">
        <f>'C５级比赛'!P20*2</f>
        <v>4.46666666666667</v>
      </c>
      <c r="Q20" s="16">
        <f>'C５级比赛'!Q20*2</f>
        <v>4.1875</v>
      </c>
      <c r="R20" s="16">
        <f>'C５级比赛'!R20*2</f>
        <v>3.72222222222222</v>
      </c>
      <c r="S20" s="38">
        <f>'C５级比赛'!S20*2</f>
        <v>273.129675879676</v>
      </c>
      <c r="T20" s="15">
        <f>'C５级比赛'!T20*2</f>
        <v>6.66169941169941</v>
      </c>
      <c r="U20" s="16"/>
      <c r="V20" s="16"/>
      <c r="W20" s="18"/>
      <c r="X20" s="18"/>
      <c r="Y20" s="18"/>
      <c r="Z20" s="18"/>
      <c r="AA20" s="18"/>
      <c r="AB20" s="18"/>
      <c r="AC20" s="18"/>
      <c r="AD20" s="16"/>
      <c r="AE20" s="16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4"/>
      <c r="AR20" s="24"/>
      <c r="AS20" s="24"/>
      <c r="AT20" s="24"/>
      <c r="AU20" s="24"/>
      <c r="AV20" s="24"/>
      <c r="AW20" s="24"/>
      <c r="AX20" s="24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</row>
    <row r="21" spans="1:110">
      <c r="A21" s="20" t="s">
        <v>59</v>
      </c>
      <c r="B21" s="18">
        <f>'C５级比赛'!B21*2</f>
        <v>78.6</v>
      </c>
      <c r="C21" s="18">
        <f>'C５级比赛'!C21*2</f>
        <v>55.2</v>
      </c>
      <c r="D21" s="16">
        <f>'C５级比赛'!D21*2</f>
        <v>39.3</v>
      </c>
      <c r="E21" s="16">
        <f>'C５级比赛'!E21*2</f>
        <v>27.51</v>
      </c>
      <c r="F21" s="16">
        <f>'C５级比赛'!F21*2</f>
        <v>15.72</v>
      </c>
      <c r="G21" s="16">
        <f>'C５级比赛'!G21*2</f>
        <v>13.1</v>
      </c>
      <c r="H21" s="16">
        <f>'C５级比赛'!H21*2</f>
        <v>11.2285714285714</v>
      </c>
      <c r="I21" s="16">
        <f>'C５级比赛'!I21*2</f>
        <v>9.825</v>
      </c>
      <c r="J21" s="16">
        <f>'C５级比赛'!J21*2</f>
        <v>8.73333333333333</v>
      </c>
      <c r="K21" s="16">
        <f>'C５级比赛'!K21*2</f>
        <v>7.86</v>
      </c>
      <c r="L21" s="16">
        <f>'C５级比赛'!L21*2</f>
        <v>7.14545454545454</v>
      </c>
      <c r="M21" s="16">
        <f>'C５级比赛'!M21*2</f>
        <v>6.55</v>
      </c>
      <c r="N21" s="16">
        <f>'C５级比赛'!N21*2</f>
        <v>6.04615384615385</v>
      </c>
      <c r="O21" s="16">
        <f>'C５级比赛'!O21*2</f>
        <v>5.61428571428571</v>
      </c>
      <c r="P21" s="16">
        <f>'C５级比赛'!P21*2</f>
        <v>5.24</v>
      </c>
      <c r="Q21" s="16">
        <f>'C５级比赛'!Q21*2</f>
        <v>4.9125</v>
      </c>
      <c r="R21" s="16">
        <f>'C５级比赛'!R21*2</f>
        <v>4.36666666666667</v>
      </c>
      <c r="S21" s="16">
        <f>'C５级比赛'!S21*2</f>
        <v>3.93</v>
      </c>
      <c r="T21" s="38">
        <f>'C５级比赛'!T21*2</f>
        <v>340.247798867799</v>
      </c>
      <c r="U21" s="15">
        <f>'C５级比赛'!U21*2</f>
        <v>6.67152546799606</v>
      </c>
      <c r="V21" s="16"/>
      <c r="W21" s="18"/>
      <c r="X21" s="18"/>
      <c r="Y21" s="18"/>
      <c r="Z21" s="18"/>
      <c r="AA21" s="18"/>
      <c r="AB21" s="18"/>
      <c r="AC21" s="18"/>
      <c r="AD21" s="16"/>
      <c r="AE21" s="16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4"/>
      <c r="AR21" s="24"/>
      <c r="AS21" s="24"/>
      <c r="AT21" s="24"/>
      <c r="AU21" s="24"/>
      <c r="AV21" s="24"/>
      <c r="AW21" s="24"/>
      <c r="AX21" s="24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</row>
    <row r="22" spans="1:110">
      <c r="A22" s="17" t="s">
        <v>60</v>
      </c>
      <c r="B22" s="18">
        <f>'C５级比赛'!B22*2</f>
        <v>90.4</v>
      </c>
      <c r="C22" s="18">
        <f>'C５级比赛'!C22*2</f>
        <v>63.28</v>
      </c>
      <c r="D22" s="16">
        <f>'C５级比赛'!D22*2</f>
        <v>45.2</v>
      </c>
      <c r="E22" s="16">
        <f>'C５级比赛'!E22*2</f>
        <v>31.64</v>
      </c>
      <c r="F22" s="16">
        <f>'C５级比赛'!F22*2</f>
        <v>18.08</v>
      </c>
      <c r="G22" s="16">
        <f>'C５级比赛'!G22*2</f>
        <v>15.0666666666667</v>
      </c>
      <c r="H22" s="16">
        <f>'C５级比赛'!H22*2</f>
        <v>12.9142857142857</v>
      </c>
      <c r="I22" s="16">
        <f>'C５级比赛'!I22*2</f>
        <v>11.3</v>
      </c>
      <c r="J22" s="16">
        <f>'C５级比赛'!J22*2</f>
        <v>10.0444444444444</v>
      </c>
      <c r="K22" s="16">
        <f>'C５级比赛'!K22*2</f>
        <v>9.04</v>
      </c>
      <c r="L22" s="16">
        <f>'C５级比赛'!L22*2</f>
        <v>8.21818181818182</v>
      </c>
      <c r="M22" s="16">
        <f>'C５级比赛'!M22*2</f>
        <v>7.53333333333333</v>
      </c>
      <c r="N22" s="16">
        <f>'C５级比赛'!N22*2</f>
        <v>6.95384615384615</v>
      </c>
      <c r="O22" s="16">
        <f>'C５级比赛'!O22*2</f>
        <v>6.45714285714286</v>
      </c>
      <c r="P22" s="16">
        <f>'C５级比赛'!P22*2</f>
        <v>6.02666666666667</v>
      </c>
      <c r="Q22" s="16">
        <f>'C５级比赛'!Q22*2</f>
        <v>5.65</v>
      </c>
      <c r="R22" s="16">
        <f>'C５级比赛'!R22*2</f>
        <v>5.02222222222222</v>
      </c>
      <c r="S22" s="16">
        <f>'C５级比赛'!S22*2</f>
        <v>4.52</v>
      </c>
      <c r="T22" s="16">
        <f>'C５级比赛'!T22*2</f>
        <v>3.47692307692308</v>
      </c>
      <c r="U22" s="38">
        <f>'C５级比赛'!U22*2</f>
        <v>408.50584970585</v>
      </c>
      <c r="V22" s="15">
        <f>'C５级比赛'!V22*2</f>
        <v>6.69681720829262</v>
      </c>
      <c r="W22" s="18"/>
      <c r="X22" s="18"/>
      <c r="Y22" s="18"/>
      <c r="Z22" s="18"/>
      <c r="AA22" s="18"/>
      <c r="AB22" s="18"/>
      <c r="AC22" s="18"/>
      <c r="AD22" s="16"/>
      <c r="AE22" s="16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4"/>
      <c r="AR22" s="24"/>
      <c r="AS22" s="24"/>
      <c r="AT22" s="24"/>
      <c r="AU22" s="24"/>
      <c r="AV22" s="24"/>
      <c r="AW22" s="24"/>
      <c r="AX22" s="24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</row>
    <row r="23" spans="1:110">
      <c r="A23" s="17" t="s">
        <v>61</v>
      </c>
      <c r="B23" s="18">
        <f>'C５级比赛'!B23*2</f>
        <v>112</v>
      </c>
      <c r="C23" s="18">
        <f>'C５级比赛'!C23*2</f>
        <v>78.4</v>
      </c>
      <c r="D23" s="16">
        <f>'C５级比赛'!D23*2</f>
        <v>56</v>
      </c>
      <c r="E23" s="16">
        <f>'C５级比赛'!E23*2</f>
        <v>39.2</v>
      </c>
      <c r="F23" s="16">
        <f>'C５级比赛'!F23*2</f>
        <v>22.4</v>
      </c>
      <c r="G23" s="16">
        <f>'C５级比赛'!G23*2</f>
        <v>18.6666666666667</v>
      </c>
      <c r="H23" s="16">
        <f>'C５级比赛'!H23*2</f>
        <v>16</v>
      </c>
      <c r="I23" s="16">
        <f>'C５级比赛'!I23*2</f>
        <v>14</v>
      </c>
      <c r="J23" s="16">
        <f>'C５级比赛'!J23*2</f>
        <v>12.4444444444444</v>
      </c>
      <c r="K23" s="16">
        <f>'C５级比赛'!K23*2</f>
        <v>11.2</v>
      </c>
      <c r="L23" s="16">
        <f>'C５级比赛'!L23*2</f>
        <v>10.1818181818182</v>
      </c>
      <c r="M23" s="16">
        <f>'C５级比赛'!M23*2</f>
        <v>9.33333333333333</v>
      </c>
      <c r="N23" s="16">
        <f>'C５级比赛'!N23*2</f>
        <v>8.61538461538461</v>
      </c>
      <c r="O23" s="16">
        <f>'C５级比赛'!O23*2</f>
        <v>8</v>
      </c>
      <c r="P23" s="16">
        <f>'C５级比赛'!P23*2</f>
        <v>7.46666666666667</v>
      </c>
      <c r="Q23" s="16">
        <f>'C５级比赛'!Q23*2</f>
        <v>7</v>
      </c>
      <c r="R23" s="16">
        <f>'C５级比赛'!R23*2</f>
        <v>6.22222222222222</v>
      </c>
      <c r="S23" s="16">
        <f>'C５级比赛'!S23*2</f>
        <v>5.6</v>
      </c>
      <c r="T23" s="16">
        <f>'C５级比赛'!T23*2</f>
        <v>4.30769230769231</v>
      </c>
      <c r="U23" s="16">
        <f>'C５级比赛'!U23*2</f>
        <v>3.73333333333333</v>
      </c>
      <c r="V23" s="38">
        <f>'C５级比赛'!V23*2</f>
        <v>543.446775446775</v>
      </c>
      <c r="W23" s="15">
        <f>'C５级比赛'!W23*2</f>
        <v>6.70921944996019</v>
      </c>
      <c r="X23" s="18"/>
      <c r="Y23" s="18"/>
      <c r="Z23" s="18"/>
      <c r="AA23" s="18"/>
      <c r="AB23" s="18"/>
      <c r="AC23" s="18"/>
      <c r="AD23" s="16"/>
      <c r="AE23" s="16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4"/>
      <c r="AR23" s="24"/>
      <c r="AS23" s="24"/>
      <c r="AT23" s="24"/>
      <c r="AU23" s="24"/>
      <c r="AV23" s="24"/>
      <c r="AW23" s="24"/>
      <c r="AX23" s="24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</row>
    <row r="24" s="37" customFormat="1" spans="1:110">
      <c r="A24" s="19" t="s">
        <v>62</v>
      </c>
      <c r="B24" s="13">
        <f>'C５级比赛'!B24*2</f>
        <v>138</v>
      </c>
      <c r="C24" s="13">
        <f>'C５级比赛'!C24*2</f>
        <v>96.6</v>
      </c>
      <c r="D24" s="13">
        <f>'C５级比赛'!D24*2</f>
        <v>69</v>
      </c>
      <c r="E24" s="13">
        <f>'C５级比赛'!E24*2</f>
        <v>48.3</v>
      </c>
      <c r="F24" s="13">
        <f>'C５级比赛'!F24*2</f>
        <v>27.6</v>
      </c>
      <c r="G24" s="13">
        <f>'C５级比赛'!G24*2</f>
        <v>23</v>
      </c>
      <c r="H24" s="13">
        <f>'C５级比赛'!H24*2</f>
        <v>19.7142857142857</v>
      </c>
      <c r="I24" s="13">
        <f>'C５级比赛'!I24*2</f>
        <v>17.25</v>
      </c>
      <c r="J24" s="13">
        <f>'C５级比赛'!J24*2</f>
        <v>15.3333333333333</v>
      </c>
      <c r="K24" s="13">
        <f>'C５级比赛'!K24*2</f>
        <v>13.8</v>
      </c>
      <c r="L24" s="13">
        <f>'C５级比赛'!L24*2</f>
        <v>12.5454545454545</v>
      </c>
      <c r="M24" s="13">
        <f>'C５级比赛'!M24*2</f>
        <v>11.5</v>
      </c>
      <c r="N24" s="13">
        <f>'C５级比赛'!N24*2</f>
        <v>10.6153846153846</v>
      </c>
      <c r="O24" s="13">
        <f>'C５级比赛'!O24*2</f>
        <v>9.85714285714286</v>
      </c>
      <c r="P24" s="13">
        <f>'C５级比赛'!P24*2</f>
        <v>9.2</v>
      </c>
      <c r="Q24" s="13">
        <f>'C５级比赛'!Q24*2</f>
        <v>8.625</v>
      </c>
      <c r="R24" s="13">
        <f>'C５级比赛'!R24*2</f>
        <v>7.66666666666667</v>
      </c>
      <c r="S24" s="13">
        <f>'C５级比赛'!S24*2</f>
        <v>6.9</v>
      </c>
      <c r="T24" s="13">
        <f>'C５级比赛'!T24*2</f>
        <v>5.30769230769231</v>
      </c>
      <c r="U24" s="13">
        <f>'C５级比赛'!U24*2</f>
        <v>4.6</v>
      </c>
      <c r="V24" s="13">
        <f>'C５级比赛'!V24*2</f>
        <v>3.36585365853659</v>
      </c>
      <c r="W24" s="38">
        <f>'C５级比赛'!W24*2</f>
        <v>703.262599189429</v>
      </c>
      <c r="X24" s="15">
        <f>'C５级比赛'!X24*2</f>
        <v>6.9629960315785</v>
      </c>
      <c r="Y24" s="16"/>
      <c r="Z24" s="16"/>
      <c r="AA24" s="16"/>
      <c r="AB24" s="16"/>
      <c r="AC24" s="16"/>
      <c r="AD24" s="16"/>
      <c r="AE24" s="16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31"/>
      <c r="AR24" s="31"/>
      <c r="AS24" s="31"/>
      <c r="AT24" s="31"/>
      <c r="AU24" s="31"/>
      <c r="AV24" s="31"/>
      <c r="AW24" s="31"/>
      <c r="AX24" s="31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</row>
    <row r="25" spans="1:110">
      <c r="A25" s="22" t="s">
        <v>63</v>
      </c>
      <c r="B25" s="16">
        <f>'C５级比赛'!B25*2</f>
        <v>159.2</v>
      </c>
      <c r="C25" s="16">
        <f>'C５级比赛'!C25*2</f>
        <v>111.44</v>
      </c>
      <c r="D25" s="16">
        <f>'C５级比赛'!D25*2</f>
        <v>79.6</v>
      </c>
      <c r="E25" s="16">
        <f>'C５级比赛'!E25*2</f>
        <v>55.72</v>
      </c>
      <c r="F25" s="16">
        <f>'C５级比赛'!F25*2</f>
        <v>31.84</v>
      </c>
      <c r="G25" s="16">
        <f>'C５级比赛'!G25*2</f>
        <v>26.5333333333333</v>
      </c>
      <c r="H25" s="16">
        <f>'C５级比赛'!H25*2</f>
        <v>22.7428571428571</v>
      </c>
      <c r="I25" s="16">
        <f>'C５级比赛'!I25*2</f>
        <v>19.9</v>
      </c>
      <c r="J25" s="16">
        <f>'C５级比赛'!J25*2</f>
        <v>17.6888888888889</v>
      </c>
      <c r="K25" s="16">
        <f>'C５级比赛'!K25*2</f>
        <v>15.92</v>
      </c>
      <c r="L25" s="16">
        <f>'C５级比赛'!L25*2</f>
        <v>14.4727272727273</v>
      </c>
      <c r="M25" s="16">
        <f>'C５级比赛'!M25*2</f>
        <v>13.2666666666667</v>
      </c>
      <c r="N25" s="16">
        <f>'C５级比赛'!N25*2</f>
        <v>12.2461538461538</v>
      </c>
      <c r="O25" s="16">
        <f>'C５级比赛'!O25*2</f>
        <v>11.3714285714286</v>
      </c>
      <c r="P25" s="16">
        <f>'C５级比赛'!P25*2</f>
        <v>10.6133333333333</v>
      </c>
      <c r="Q25" s="16">
        <f>'C５级比赛'!Q25*2</f>
        <v>9.95</v>
      </c>
      <c r="R25" s="16">
        <f>'C５级比赛'!R25*2</f>
        <v>8.84444444444444</v>
      </c>
      <c r="S25" s="16">
        <f>'C５级比赛'!S25*2</f>
        <v>7.96</v>
      </c>
      <c r="T25" s="16">
        <f>'C５级比赛'!T25*2</f>
        <v>6.12307692307692</v>
      </c>
      <c r="U25" s="16">
        <f>'C５级比赛'!U25*2</f>
        <v>5.30666666666667</v>
      </c>
      <c r="V25" s="16">
        <f>'C５级比赛'!V25*2</f>
        <v>3.88292682926829</v>
      </c>
      <c r="W25" s="16">
        <f>'C５级比赛'!W25*2</f>
        <v>3.12156862745098</v>
      </c>
      <c r="X25" s="38">
        <f>'C５级比赛'!X25*2</f>
        <v>842.515728237966</v>
      </c>
      <c r="Y25" s="15">
        <f>'C５级比赛'!Y25*2</f>
        <v>6.96293990279311</v>
      </c>
      <c r="Z25" s="16"/>
      <c r="AA25" s="16"/>
      <c r="AB25" s="16"/>
      <c r="AC25" s="16"/>
      <c r="AD25" s="16"/>
      <c r="AE25" s="16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4"/>
      <c r="AR25" s="24"/>
      <c r="AS25" s="24"/>
      <c r="AT25" s="24"/>
      <c r="AU25" s="24"/>
      <c r="AV25" s="24"/>
      <c r="AW25" s="24"/>
      <c r="AX25" s="24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</row>
    <row r="26" spans="1:110">
      <c r="A26" s="22" t="s">
        <v>64</v>
      </c>
      <c r="B26" s="16">
        <f>'C５级比赛'!B26*2</f>
        <v>180</v>
      </c>
      <c r="C26" s="16">
        <f>'C５级比赛'!C26*2</f>
        <v>126</v>
      </c>
      <c r="D26" s="16">
        <f>'C５级比赛'!D26*2</f>
        <v>90</v>
      </c>
      <c r="E26" s="16">
        <f>'C５级比赛'!E26*2</f>
        <v>63</v>
      </c>
      <c r="F26" s="16">
        <f>'C５级比赛'!F26*2</f>
        <v>36</v>
      </c>
      <c r="G26" s="16">
        <f>'C５级比赛'!G26*2</f>
        <v>30</v>
      </c>
      <c r="H26" s="16">
        <f>'C５级比赛'!H26*2</f>
        <v>25.7142857142857</v>
      </c>
      <c r="I26" s="16">
        <f>'C５级比赛'!I26*2</f>
        <v>22.5</v>
      </c>
      <c r="J26" s="16">
        <f>'C５级比赛'!J26*2</f>
        <v>20</v>
      </c>
      <c r="K26" s="16">
        <f>'C５级比赛'!K26*2</f>
        <v>18</v>
      </c>
      <c r="L26" s="16">
        <f>'C５级比赛'!L26*2</f>
        <v>16.3636363636364</v>
      </c>
      <c r="M26" s="16">
        <f>'C５级比赛'!M26*2</f>
        <v>15</v>
      </c>
      <c r="N26" s="16">
        <f>'C５级比赛'!N26*2</f>
        <v>13.8461538461538</v>
      </c>
      <c r="O26" s="16">
        <f>'C５级比赛'!O26*2</f>
        <v>12.8571428571429</v>
      </c>
      <c r="P26" s="16">
        <f>'C５级比赛'!P26*2</f>
        <v>12</v>
      </c>
      <c r="Q26" s="16">
        <f>'C５级比赛'!Q26*2</f>
        <v>11.25</v>
      </c>
      <c r="R26" s="16">
        <f>'C５级比赛'!R26*2</f>
        <v>10</v>
      </c>
      <c r="S26" s="16">
        <f>'C５级比赛'!S26*2</f>
        <v>9</v>
      </c>
      <c r="T26" s="16">
        <f>'C５级比赛'!T26*2</f>
        <v>6.92307692307692</v>
      </c>
      <c r="U26" s="16">
        <f>'C５级比赛'!U26*2</f>
        <v>6</v>
      </c>
      <c r="V26" s="16">
        <f>'C５级比赛'!V26*2</f>
        <v>4.39024390243902</v>
      </c>
      <c r="W26" s="16">
        <f>'C５级比赛'!W26*2</f>
        <v>3.52941176470588</v>
      </c>
      <c r="X26" s="16">
        <f>'C５级比赛'!X26*2</f>
        <v>2.95081967213115</v>
      </c>
      <c r="Y26" s="38">
        <f>'C５级比赛'!Y26*2</f>
        <v>982.101356789364</v>
      </c>
      <c r="Z26" s="15">
        <f>'C５级比赛'!Z26*2</f>
        <v>6.96525784956996</v>
      </c>
      <c r="AA26" s="16"/>
      <c r="AB26" s="16"/>
      <c r="AC26" s="16"/>
      <c r="AD26" s="16"/>
      <c r="AE26" s="16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4"/>
      <c r="AR26" s="24"/>
      <c r="AS26" s="24"/>
      <c r="AT26" s="24"/>
      <c r="AU26" s="24"/>
      <c r="AV26" s="24"/>
      <c r="AW26" s="24"/>
      <c r="AX26" s="24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</row>
    <row r="27" spans="1:110">
      <c r="A27" s="22" t="s">
        <v>65</v>
      </c>
      <c r="B27" s="16">
        <f>'C５级比赛'!B27*2</f>
        <v>200.4</v>
      </c>
      <c r="C27" s="16">
        <f>'C５级比赛'!C27*2</f>
        <v>140.28</v>
      </c>
      <c r="D27" s="16">
        <f>'C５级比赛'!D27*2</f>
        <v>100.2</v>
      </c>
      <c r="E27" s="16">
        <f>'C５级比赛'!E27*2</f>
        <v>70.14</v>
      </c>
      <c r="F27" s="16">
        <f>'C５级比赛'!F27*2</f>
        <v>40.08</v>
      </c>
      <c r="G27" s="16">
        <f>'C５级比赛'!G27*2</f>
        <v>33.4</v>
      </c>
      <c r="H27" s="16">
        <f>'C５级比赛'!H27*2</f>
        <v>28.6285714285714</v>
      </c>
      <c r="I27" s="16">
        <f>'C５级比赛'!I27*2</f>
        <v>25.05</v>
      </c>
      <c r="J27" s="16">
        <f>'C５级比赛'!J27*2</f>
        <v>22.2666666666667</v>
      </c>
      <c r="K27" s="16">
        <f>'C５级比赛'!K27*2</f>
        <v>20.04</v>
      </c>
      <c r="L27" s="16">
        <f>'C５级比赛'!L27*2</f>
        <v>18.2181818181818</v>
      </c>
      <c r="M27" s="16">
        <f>'C５级比赛'!M27*2</f>
        <v>16.7</v>
      </c>
      <c r="N27" s="16">
        <f>'C５级比赛'!N27*2</f>
        <v>15.4153846153846</v>
      </c>
      <c r="O27" s="16">
        <f>'C５级比赛'!O27*2</f>
        <v>14.3142857142857</v>
      </c>
      <c r="P27" s="16">
        <f>'C５级比赛'!P27*2</f>
        <v>13.36</v>
      </c>
      <c r="Q27" s="16">
        <f>'C５级比赛'!Q27*2</f>
        <v>12.525</v>
      </c>
      <c r="R27" s="16">
        <f>'C５级比赛'!R27*2</f>
        <v>11.1333333333333</v>
      </c>
      <c r="S27" s="16">
        <f>'C５级比赛'!S27*2</f>
        <v>10.02</v>
      </c>
      <c r="T27" s="16">
        <f>'C５级比赛'!T27*2</f>
        <v>7.70769230769231</v>
      </c>
      <c r="U27" s="16">
        <f>'C５级比赛'!U27*2</f>
        <v>6.68</v>
      </c>
      <c r="V27" s="16">
        <f>'C５级比赛'!V27*2</f>
        <v>4.88780487804878</v>
      </c>
      <c r="W27" s="16">
        <f>'C５级比赛'!W27*2</f>
        <v>3.92941176470588</v>
      </c>
      <c r="X27" s="16">
        <f>'C５级比赛'!X27*2</f>
        <v>3.28524590163934</v>
      </c>
      <c r="Y27" s="16">
        <f>'C５级比赛'!Y27*2</f>
        <v>2.82253521126761</v>
      </c>
      <c r="Z27" s="38">
        <f>'C５级比赛'!Z27*2</f>
        <v>1121.63152933817</v>
      </c>
      <c r="AA27" s="15">
        <f>'C５级比赛'!AA27*2</f>
        <v>6.96665546172775</v>
      </c>
      <c r="AB27" s="16"/>
      <c r="AC27" s="16"/>
      <c r="AD27" s="16"/>
      <c r="AE27" s="16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4"/>
      <c r="AR27" s="24"/>
      <c r="AS27" s="24"/>
      <c r="AT27" s="24"/>
      <c r="AU27" s="24"/>
      <c r="AV27" s="24"/>
      <c r="AW27" s="24"/>
      <c r="AX27" s="24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</row>
    <row r="28" spans="1:110">
      <c r="A28" s="22" t="s">
        <v>66</v>
      </c>
      <c r="B28" s="16">
        <f>'C５级比赛'!B28*2</f>
        <v>220.4</v>
      </c>
      <c r="C28" s="16">
        <f>'C５级比赛'!C28*2</f>
        <v>154.28</v>
      </c>
      <c r="D28" s="16">
        <f>'C５级比赛'!D28*2</f>
        <v>110.2</v>
      </c>
      <c r="E28" s="16">
        <f>'C５级比赛'!E28*2</f>
        <v>77.14</v>
      </c>
      <c r="F28" s="16">
        <f>'C５级比赛'!F28*2</f>
        <v>44.08</v>
      </c>
      <c r="G28" s="16">
        <f>'C５级比赛'!G28*2</f>
        <v>36.7333333333333</v>
      </c>
      <c r="H28" s="16">
        <f>'C５级比赛'!H28*2</f>
        <v>31.4857142857143</v>
      </c>
      <c r="I28" s="16">
        <f>'C５级比赛'!I28*2</f>
        <v>27.55</v>
      </c>
      <c r="J28" s="16">
        <f>'C５级比赛'!J28*2</f>
        <v>24.4888888888889</v>
      </c>
      <c r="K28" s="16">
        <f>'C５级比赛'!K28*2</f>
        <v>22.04</v>
      </c>
      <c r="L28" s="16">
        <f>'C５级比赛'!L28*2</f>
        <v>20.0363636363636</v>
      </c>
      <c r="M28" s="16">
        <f>'C５级比赛'!M28*2</f>
        <v>18.3666666666667</v>
      </c>
      <c r="N28" s="16">
        <f>'C５级比赛'!N28*2</f>
        <v>16.9538461538462</v>
      </c>
      <c r="O28" s="16">
        <f>'C５级比赛'!O28*2</f>
        <v>15.7428571428571</v>
      </c>
      <c r="P28" s="16">
        <f>'C５级比赛'!P28*2</f>
        <v>14.6933333333333</v>
      </c>
      <c r="Q28" s="16">
        <f>'C５级比赛'!Q28*2</f>
        <v>13.775</v>
      </c>
      <c r="R28" s="16">
        <f>'C５级比赛'!R28*2</f>
        <v>12.2444444444444</v>
      </c>
      <c r="S28" s="16">
        <f>'C５级比赛'!S28*2</f>
        <v>11.02</v>
      </c>
      <c r="T28" s="16">
        <f>'C５级比赛'!T28*2</f>
        <v>8.47692307692308</v>
      </c>
      <c r="U28" s="16">
        <f>'C５级比赛'!U28*2</f>
        <v>7.34666666666667</v>
      </c>
      <c r="V28" s="16">
        <f>'C５级比赛'!V28*2</f>
        <v>5.37560975609756</v>
      </c>
      <c r="W28" s="16">
        <f>'C５级比赛'!W28*2</f>
        <v>4.32156862745098</v>
      </c>
      <c r="X28" s="16">
        <f>'C５级比赛'!X28*2</f>
        <v>3.61311475409836</v>
      </c>
      <c r="Y28" s="16">
        <f>'C５级比赛'!Y28*2</f>
        <v>3.10422535211268</v>
      </c>
      <c r="Z28" s="16">
        <f>'C５级比赛'!Z28*2</f>
        <v>2.72098765432099</v>
      </c>
      <c r="AA28" s="38">
        <f>'C５级比赛'!AA28*2</f>
        <v>1260.78068026642</v>
      </c>
      <c r="AB28" s="15">
        <f>'C５级比赛'!AB28*2</f>
        <v>6.96563911749406</v>
      </c>
      <c r="AC28" s="16"/>
      <c r="AD28" s="16"/>
      <c r="AE28" s="16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4"/>
      <c r="AR28" s="24"/>
      <c r="AS28" s="24"/>
      <c r="AT28" s="24"/>
      <c r="AU28" s="24"/>
      <c r="AV28" s="24"/>
      <c r="AW28" s="24"/>
      <c r="AX28" s="24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</row>
    <row r="29" spans="1:110">
      <c r="A29" s="22" t="s">
        <v>67</v>
      </c>
      <c r="B29" s="16">
        <f>'C５级比赛'!B29*2</f>
        <v>240.2</v>
      </c>
      <c r="C29" s="16">
        <f>'C５级比赛'!C29*2</f>
        <v>168.14</v>
      </c>
      <c r="D29" s="16">
        <f>'C５级比赛'!D29*2</f>
        <v>120.1</v>
      </c>
      <c r="E29" s="16">
        <f>'C５级比赛'!E29*2</f>
        <v>84.07</v>
      </c>
      <c r="F29" s="16">
        <f>'C５级比赛'!F29*2</f>
        <v>48.04</v>
      </c>
      <c r="G29" s="16">
        <f>'C５级比赛'!G29*2</f>
        <v>40.0333333333333</v>
      </c>
      <c r="H29" s="16">
        <f>'C５级比赛'!H29*2</f>
        <v>34.3142857142857</v>
      </c>
      <c r="I29" s="16">
        <f>'C５级比赛'!I29*2</f>
        <v>30.025</v>
      </c>
      <c r="J29" s="16">
        <f>'C５级比赛'!J29*2</f>
        <v>26.6888888888889</v>
      </c>
      <c r="K29" s="16">
        <f>'C５级比赛'!K29*2</f>
        <v>24.02</v>
      </c>
      <c r="L29" s="16">
        <f>'C５级比赛'!L29*2</f>
        <v>21.8363636363636</v>
      </c>
      <c r="M29" s="16">
        <f>'C５级比赛'!M29*2</f>
        <v>20.0166666666667</v>
      </c>
      <c r="N29" s="16">
        <f>'C５级比赛'!N29*2</f>
        <v>18.4769230769231</v>
      </c>
      <c r="O29" s="16">
        <f>'C５级比赛'!O29*2</f>
        <v>17.1571428571429</v>
      </c>
      <c r="P29" s="16">
        <f>'C５级比赛'!P29*2</f>
        <v>16.0133333333333</v>
      </c>
      <c r="Q29" s="16">
        <f>'C５级比赛'!Q29*2</f>
        <v>15.0125</v>
      </c>
      <c r="R29" s="16">
        <f>'C５级比赛'!R29*2</f>
        <v>13.3444444444444</v>
      </c>
      <c r="S29" s="16">
        <f>'C５级比赛'!S29*2</f>
        <v>12.01</v>
      </c>
      <c r="T29" s="16">
        <f>'C５级比赛'!T29*2</f>
        <v>9.23846153846154</v>
      </c>
      <c r="U29" s="16">
        <f>'C５级比赛'!U29*2</f>
        <v>8.00666666666667</v>
      </c>
      <c r="V29" s="16">
        <f>'C５级比赛'!V29*2</f>
        <v>5.85853658536585</v>
      </c>
      <c r="W29" s="16">
        <f>'C５级比赛'!W29*2</f>
        <v>4.70980392156863</v>
      </c>
      <c r="X29" s="16">
        <f>'C５级比赛'!X29*2</f>
        <v>3.93770491803279</v>
      </c>
      <c r="Y29" s="16">
        <f>'C５级比赛'!Y29*2</f>
        <v>3.3830985915493</v>
      </c>
      <c r="Z29" s="16">
        <f>'C５级比赛'!Z29*2</f>
        <v>2.96543209876543</v>
      </c>
      <c r="AA29" s="16">
        <f>'C５级比赛'!AA29*2</f>
        <v>2.63956043956044</v>
      </c>
      <c r="AB29" s="38">
        <f>'C５级比赛'!AB29*2</f>
        <v>1400.44061074767</v>
      </c>
      <c r="AC29" s="15">
        <f>'C５级比赛'!AC29*2</f>
        <v>6.96736622262522</v>
      </c>
      <c r="AD29" s="16"/>
      <c r="AE29" s="16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4"/>
      <c r="AR29" s="24"/>
      <c r="AS29" s="24"/>
      <c r="AT29" s="24"/>
      <c r="AU29" s="24"/>
      <c r="AV29" s="24"/>
      <c r="AW29" s="24"/>
      <c r="AX29" s="24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</row>
    <row r="30" spans="1:110">
      <c r="A30" s="22" t="s">
        <v>68</v>
      </c>
      <c r="B30" s="16">
        <f>'C５级比赛'!B30*2</f>
        <v>278.4</v>
      </c>
      <c r="C30" s="16">
        <f>'C５级比赛'!C30*2</f>
        <v>194.88</v>
      </c>
      <c r="D30" s="16">
        <f>'C５级比赛'!D30*2</f>
        <v>139.2</v>
      </c>
      <c r="E30" s="16">
        <f>'C５级比赛'!E30*2</f>
        <v>97.44</v>
      </c>
      <c r="F30" s="16">
        <f>'C５级比赛'!F30*2</f>
        <v>55.68</v>
      </c>
      <c r="G30" s="16">
        <f>'C５级比赛'!G30*2</f>
        <v>46.4</v>
      </c>
      <c r="H30" s="16">
        <f>'C５级比赛'!H30*2</f>
        <v>39.7714285714286</v>
      </c>
      <c r="I30" s="16">
        <f>'C５级比赛'!I30*2</f>
        <v>34.8</v>
      </c>
      <c r="J30" s="16">
        <f>'C５级比赛'!J30*2</f>
        <v>30.9333333333333</v>
      </c>
      <c r="K30" s="16">
        <f>'C５级比赛'!K30*2</f>
        <v>27.84</v>
      </c>
      <c r="L30" s="16">
        <f>'C５级比赛'!L30*2</f>
        <v>25.3090909090909</v>
      </c>
      <c r="M30" s="16">
        <f>'C５级比赛'!M30*2</f>
        <v>23.2</v>
      </c>
      <c r="N30" s="16">
        <f>'C５级比赛'!N30*2</f>
        <v>21.4153846153846</v>
      </c>
      <c r="O30" s="16">
        <f>'C５级比赛'!O30*2</f>
        <v>19.8857142857143</v>
      </c>
      <c r="P30" s="16">
        <f>'C５级比赛'!P30*2</f>
        <v>18.56</v>
      </c>
      <c r="Q30" s="16">
        <f>'C５级比赛'!Q30*2</f>
        <v>17.4</v>
      </c>
      <c r="R30" s="16">
        <f>'C５级比赛'!R30*2</f>
        <v>15.4666666666667</v>
      </c>
      <c r="S30" s="16">
        <f>'C５级比赛'!S30*2</f>
        <v>13.92</v>
      </c>
      <c r="T30" s="16">
        <f>'C５级比赛'!T30*2</f>
        <v>10.7076923076923</v>
      </c>
      <c r="U30" s="16">
        <f>'C５级比赛'!U30*2</f>
        <v>9.28</v>
      </c>
      <c r="V30" s="16">
        <f>'C５级比赛'!V30*2</f>
        <v>6.79024390243902</v>
      </c>
      <c r="W30" s="16">
        <f>'C５级比赛'!W30*2</f>
        <v>5.45882352941176</v>
      </c>
      <c r="X30" s="16">
        <f>'C５级比赛'!X30*2</f>
        <v>4.56393442622951</v>
      </c>
      <c r="Y30" s="16">
        <f>'C５级比赛'!Y30*2</f>
        <v>3.92112676056338</v>
      </c>
      <c r="Z30" s="16">
        <f>'C５级比赛'!Z30*2</f>
        <v>3.43703703703704</v>
      </c>
      <c r="AA30" s="16">
        <f>'C５级比赛'!AA30*2</f>
        <v>3.05934065934066</v>
      </c>
      <c r="AB30" s="16">
        <f>'C５级比赛'!AB30*2</f>
        <v>2.784</v>
      </c>
      <c r="AC30" s="38">
        <f>'C５级比赛'!AC30*2</f>
        <v>1678.83847640363</v>
      </c>
      <c r="AD30" s="15">
        <f>'C５级比赛'!AD30*2</f>
        <v>6.96613475686152</v>
      </c>
      <c r="AE30" s="16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4"/>
      <c r="AR30" s="24"/>
      <c r="AS30" s="24"/>
      <c r="AT30" s="24"/>
      <c r="AU30" s="24"/>
      <c r="AV30" s="24"/>
      <c r="AW30" s="24"/>
      <c r="AX30" s="24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</row>
    <row r="31" spans="1:110">
      <c r="A31" s="22" t="s">
        <v>69</v>
      </c>
      <c r="B31" s="16">
        <f>'C５级比赛'!B31*2</f>
        <v>316</v>
      </c>
      <c r="C31" s="16">
        <f>'C５级比赛'!C31*2</f>
        <v>221.2</v>
      </c>
      <c r="D31" s="16">
        <f>'C５级比赛'!D31*2</f>
        <v>158</v>
      </c>
      <c r="E31" s="16">
        <f>'C５级比赛'!E31*2</f>
        <v>110.6</v>
      </c>
      <c r="F31" s="16">
        <f>'C５级比赛'!F31*2</f>
        <v>63.2</v>
      </c>
      <c r="G31" s="16">
        <f>'C５级比赛'!G31*2</f>
        <v>52.6666666666667</v>
      </c>
      <c r="H31" s="16">
        <f>'C５级比赛'!H31*2</f>
        <v>45.1428571428571</v>
      </c>
      <c r="I31" s="16">
        <f>'C５级比赛'!I31*2</f>
        <v>39.5</v>
      </c>
      <c r="J31" s="16">
        <f>'C５级比赛'!J31*2</f>
        <v>35.1111111111111</v>
      </c>
      <c r="K31" s="16">
        <f>'C５级比赛'!K31*2</f>
        <v>31.6</v>
      </c>
      <c r="L31" s="16">
        <f>'C５级比赛'!L31*2</f>
        <v>28.7272727272727</v>
      </c>
      <c r="M31" s="16">
        <f>'C５级比赛'!M31*2</f>
        <v>26.3333333333333</v>
      </c>
      <c r="N31" s="16">
        <f>'C５级比赛'!N31*2</f>
        <v>24.3076923076923</v>
      </c>
      <c r="O31" s="16">
        <f>'C５级比赛'!O31*2</f>
        <v>22.5714285714286</v>
      </c>
      <c r="P31" s="16">
        <f>'C５级比赛'!P31*2</f>
        <v>21.0666666666667</v>
      </c>
      <c r="Q31" s="16">
        <f>'C５级比赛'!Q31*2</f>
        <v>19.75</v>
      </c>
      <c r="R31" s="16">
        <f>'C５级比赛'!R31*2</f>
        <v>17.5555555555556</v>
      </c>
      <c r="S31" s="16">
        <f>'C５级比赛'!S31*2</f>
        <v>15.8</v>
      </c>
      <c r="T31" s="16">
        <f>'C５级比赛'!T31*2</f>
        <v>12.1538461538462</v>
      </c>
      <c r="U31" s="16">
        <f>'C５级比赛'!U31*2</f>
        <v>10.5333333333333</v>
      </c>
      <c r="V31" s="16">
        <f>'C５级比赛'!V31*2</f>
        <v>7.70731707317073</v>
      </c>
      <c r="W31" s="16">
        <f>'C５级比赛'!W31*2</f>
        <v>6.19607843137255</v>
      </c>
      <c r="X31" s="16">
        <f>'C５级比赛'!X31*2</f>
        <v>5.18032786885246</v>
      </c>
      <c r="Y31" s="16">
        <f>'C５级比赛'!Y31*2</f>
        <v>4.45070422535211</v>
      </c>
      <c r="Z31" s="16">
        <f>'C５级比赛'!Z31*2</f>
        <v>3.90123456790123</v>
      </c>
      <c r="AA31" s="16">
        <f>'C５级比赛'!AA31*2</f>
        <v>3.47252747252747</v>
      </c>
      <c r="AB31" s="16">
        <f>'C５级比赛'!AB31*2</f>
        <v>3.16</v>
      </c>
      <c r="AC31" s="16">
        <f>'C５级比赛'!AC31*2</f>
        <v>2.61157024793388</v>
      </c>
      <c r="AD31" s="38">
        <f>'C５级比赛'!AD31*2</f>
        <v>1957.8095606467</v>
      </c>
      <c r="AE31" s="15">
        <f>'C５级比赛'!AE31*2</f>
        <v>6.96729381013061</v>
      </c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4"/>
      <c r="AR31" s="24"/>
      <c r="AS31" s="24"/>
      <c r="AT31" s="24"/>
      <c r="AU31" s="24"/>
      <c r="AV31" s="24"/>
      <c r="AW31" s="24"/>
      <c r="AX31" s="24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</row>
    <row r="32" spans="1:110">
      <c r="A32" s="22" t="s">
        <v>70</v>
      </c>
      <c r="B32" s="16">
        <f>'C５级比赛'!B32*2</f>
        <v>353</v>
      </c>
      <c r="C32" s="16">
        <f>'C５级比赛'!C32*2</f>
        <v>247.1</v>
      </c>
      <c r="D32" s="16">
        <f>'C５级比赛'!D32*2</f>
        <v>176.5</v>
      </c>
      <c r="E32" s="16">
        <f>'C５级比赛'!E32*2</f>
        <v>123.55</v>
      </c>
      <c r="F32" s="16">
        <f>'C５级比赛'!F32*2</f>
        <v>70.6</v>
      </c>
      <c r="G32" s="16">
        <f>'C５级比赛'!G32*2</f>
        <v>58.8333333333333</v>
      </c>
      <c r="H32" s="16">
        <f>'C５级比赛'!H32*2</f>
        <v>50.4285714285714</v>
      </c>
      <c r="I32" s="16">
        <f>'C５级比赛'!I32*2</f>
        <v>44.125</v>
      </c>
      <c r="J32" s="16">
        <f>'C５级比赛'!J32*2</f>
        <v>39.2222222222222</v>
      </c>
      <c r="K32" s="16">
        <f>'C５级比赛'!K32*2</f>
        <v>35.3</v>
      </c>
      <c r="L32" s="16">
        <f>'C５级比赛'!L32*2</f>
        <v>32.0909090909091</v>
      </c>
      <c r="M32" s="16">
        <f>'C５级比赛'!M32*2</f>
        <v>29.4166666666667</v>
      </c>
      <c r="N32" s="16">
        <f>'C５级比赛'!N32*2</f>
        <v>27.1538461538462</v>
      </c>
      <c r="O32" s="16">
        <f>'C５级比赛'!O32*2</f>
        <v>25.2142857142857</v>
      </c>
      <c r="P32" s="16">
        <f>'C５级比赛'!P32*2</f>
        <v>23.5333333333333</v>
      </c>
      <c r="Q32" s="16">
        <f>'C５级比赛'!Q32*2</f>
        <v>22.0625</v>
      </c>
      <c r="R32" s="16">
        <f>'C５级比赛'!R32*2</f>
        <v>19.6111111111111</v>
      </c>
      <c r="S32" s="16">
        <f>'C５级比赛'!S32*2</f>
        <v>17.65</v>
      </c>
      <c r="T32" s="16">
        <f>'C５级比赛'!T32*2</f>
        <v>13.5769230769231</v>
      </c>
      <c r="U32" s="16">
        <f>'C５级比赛'!U32*2</f>
        <v>11.7666666666667</v>
      </c>
      <c r="V32" s="16">
        <f>'C５级比赛'!V32*2</f>
        <v>8.60975609756098</v>
      </c>
      <c r="W32" s="16">
        <f>'C５级比赛'!W32*2</f>
        <v>6.92156862745098</v>
      </c>
      <c r="X32" s="16">
        <f>'C５级比赛'!X32*2</f>
        <v>5.78688524590164</v>
      </c>
      <c r="Y32" s="16">
        <f>'C５级比赛'!Y32*2</f>
        <v>4.97183098591549</v>
      </c>
      <c r="Z32" s="16">
        <f>'C５级比赛'!Z32*2</f>
        <v>4.35802469135802</v>
      </c>
      <c r="AA32" s="16">
        <f>'C５级比赛'!AA32*2</f>
        <v>3.87912087912088</v>
      </c>
      <c r="AB32" s="16">
        <f>'C５级比赛'!AB32*2</f>
        <v>3.53</v>
      </c>
      <c r="AC32" s="16">
        <f>'C５级比赛'!AC32*2</f>
        <v>2.91735537190083</v>
      </c>
      <c r="AD32" s="16">
        <f>'C５级比赛'!AD32*2</f>
        <v>2.50354609929078</v>
      </c>
      <c r="AE32" s="38">
        <f>'C５级比赛'!AE32*2</f>
        <v>2237.1176780247</v>
      </c>
      <c r="AF32" s="27">
        <f>'C５级比赛'!AF32*2</f>
        <v>6.9692139502327</v>
      </c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4"/>
      <c r="AR32" s="24"/>
      <c r="AS32" s="24"/>
      <c r="AT32" s="24"/>
      <c r="AU32" s="24"/>
      <c r="AV32" s="24"/>
      <c r="AW32" s="24"/>
      <c r="AX32" s="24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</row>
    <row r="33" spans="1:110">
      <c r="A33" s="22" t="s">
        <v>71</v>
      </c>
      <c r="B33" s="16">
        <f>'C５级比赛'!B33*2</f>
        <v>389.4</v>
      </c>
      <c r="C33" s="16">
        <f>'C５级比赛'!C33*2</f>
        <v>272.58</v>
      </c>
      <c r="D33" s="16">
        <f>'C５级比赛'!D33*2</f>
        <v>194.7</v>
      </c>
      <c r="E33" s="16">
        <f>'C５级比赛'!E33*2</f>
        <v>136.29</v>
      </c>
      <c r="F33" s="16">
        <f>'C５级比赛'!F33*2</f>
        <v>77.88</v>
      </c>
      <c r="G33" s="16">
        <f>'C５级比赛'!G33*2</f>
        <v>64.9</v>
      </c>
      <c r="H33" s="16">
        <f>'C５级比赛'!H33*2</f>
        <v>55.6285714285714</v>
      </c>
      <c r="I33" s="16">
        <f>'C５级比赛'!I33*2</f>
        <v>48.675</v>
      </c>
      <c r="J33" s="16">
        <f>'C５级比赛'!J33*2</f>
        <v>43.2666666666667</v>
      </c>
      <c r="K33" s="16">
        <f>'C５级比赛'!K33*2</f>
        <v>38.94</v>
      </c>
      <c r="L33" s="16">
        <f>'C５级比赛'!L33*2</f>
        <v>35.4</v>
      </c>
      <c r="M33" s="16">
        <f>'C５级比赛'!M33*2</f>
        <v>32.45</v>
      </c>
      <c r="N33" s="16">
        <f>'C５级比赛'!N33*2</f>
        <v>29.9538461538462</v>
      </c>
      <c r="O33" s="16">
        <f>'C５级比赛'!O33*2</f>
        <v>27.8142857142857</v>
      </c>
      <c r="P33" s="16">
        <f>'C５级比赛'!P33*2</f>
        <v>25.96</v>
      </c>
      <c r="Q33" s="16">
        <f>'C５级比赛'!Q33*2</f>
        <v>24.3375</v>
      </c>
      <c r="R33" s="16">
        <f>'C５级比赛'!R33*2</f>
        <v>21.6333333333333</v>
      </c>
      <c r="S33" s="16">
        <f>'C５级比赛'!S33*2</f>
        <v>19.47</v>
      </c>
      <c r="T33" s="16">
        <f>'C５级比赛'!T33*2</f>
        <v>14.9769230769231</v>
      </c>
      <c r="U33" s="16">
        <f>'C５级比赛'!U33*2</f>
        <v>12.98</v>
      </c>
      <c r="V33" s="16">
        <f>'C５级比赛'!V33*2</f>
        <v>9.49756097560975</v>
      </c>
      <c r="W33" s="16">
        <f>'C５级比赛'!W33*2</f>
        <v>7.63529411764706</v>
      </c>
      <c r="X33" s="16">
        <f>'C５级比赛'!X33*2</f>
        <v>6.38360655737705</v>
      </c>
      <c r="Y33" s="16">
        <f>'C５级比赛'!Y33*2</f>
        <v>5.48450704225352</v>
      </c>
      <c r="Z33" s="16">
        <f>'C５级比赛'!Z33*2</f>
        <v>4.80740740740741</v>
      </c>
      <c r="AA33" s="16">
        <f>'C５级比赛'!AA33*2</f>
        <v>4.27912087912088</v>
      </c>
      <c r="AB33" s="16">
        <f>'C５级比赛'!AB33*2</f>
        <v>3.894</v>
      </c>
      <c r="AC33" s="16">
        <f>'C５级比赛'!AC33*2</f>
        <v>3.21818181818182</v>
      </c>
      <c r="AD33" s="16">
        <f>'C５级比赛'!AD33*2</f>
        <v>2.76170212765957</v>
      </c>
      <c r="AE33" s="16">
        <f>'C５级比赛'!AE33*2</f>
        <v>2.41863354037267</v>
      </c>
      <c r="AF33" s="39">
        <f>'C５级比赛'!AF33*2</f>
        <v>2516.17330486642</v>
      </c>
      <c r="AG33" s="27">
        <f>'C５级比赛'!AG33*2</f>
        <v>6.97000915475464</v>
      </c>
      <c r="AH33" s="25"/>
      <c r="AI33" s="25"/>
      <c r="AJ33" s="25"/>
      <c r="AK33" s="25"/>
      <c r="AL33" s="25"/>
      <c r="AM33" s="25"/>
      <c r="AN33" s="25"/>
      <c r="AO33" s="25"/>
      <c r="AP33" s="25"/>
      <c r="AQ33" s="24"/>
      <c r="AR33" s="24"/>
      <c r="AS33" s="24"/>
      <c r="AT33" s="24"/>
      <c r="AU33" s="24"/>
      <c r="AV33" s="24"/>
      <c r="AW33" s="24"/>
      <c r="AX33" s="24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</row>
    <row r="34" spans="1:110">
      <c r="A34" s="22" t="s">
        <v>72</v>
      </c>
      <c r="B34" s="16">
        <f>'C５级比赛'!B34*2</f>
        <v>425.4</v>
      </c>
      <c r="C34" s="16">
        <f>'C５级比赛'!C34*2</f>
        <v>297.78</v>
      </c>
      <c r="D34" s="16">
        <f>'C５级比赛'!D34*2</f>
        <v>212.7</v>
      </c>
      <c r="E34" s="16">
        <f>'C５级比赛'!E34*2</f>
        <v>148.89</v>
      </c>
      <c r="F34" s="16">
        <f>'C５级比赛'!F34*2</f>
        <v>85.08</v>
      </c>
      <c r="G34" s="16">
        <f>'C５级比赛'!G34*2</f>
        <v>70.9</v>
      </c>
      <c r="H34" s="16">
        <f>'C５级比赛'!H34*2</f>
        <v>60.7714285714286</v>
      </c>
      <c r="I34" s="16">
        <f>'C５级比赛'!I34*2</f>
        <v>53.175</v>
      </c>
      <c r="J34" s="16">
        <f>'C５级比赛'!J34*2</f>
        <v>47.2666666666667</v>
      </c>
      <c r="K34" s="16">
        <f>'C５级比赛'!K34*2</f>
        <v>42.54</v>
      </c>
      <c r="L34" s="16">
        <f>'C５级比赛'!L34*2</f>
        <v>38.6727272727273</v>
      </c>
      <c r="M34" s="16">
        <f>'C５级比赛'!M34*2</f>
        <v>35.45</v>
      </c>
      <c r="N34" s="16">
        <f>'C５级比赛'!N34*2</f>
        <v>32.7230769230769</v>
      </c>
      <c r="O34" s="16">
        <f>'C５级比赛'!O34*2</f>
        <v>30.3857142857143</v>
      </c>
      <c r="P34" s="16">
        <f>'C５级比赛'!P34*2</f>
        <v>28.36</v>
      </c>
      <c r="Q34" s="16">
        <f>'C５级比赛'!Q34*2</f>
        <v>26.5875</v>
      </c>
      <c r="R34" s="16">
        <f>'C５级比赛'!R34*2</f>
        <v>23.6333333333333</v>
      </c>
      <c r="S34" s="16">
        <f>'C５级比赛'!S34*2</f>
        <v>21.27</v>
      </c>
      <c r="T34" s="16">
        <f>'C５级比赛'!T34*2</f>
        <v>16.3615384615385</v>
      </c>
      <c r="U34" s="16">
        <f>'C５级比赛'!U34*2</f>
        <v>14.18</v>
      </c>
      <c r="V34" s="16">
        <f>'C５级比赛'!V34*2</f>
        <v>10.3756097560976</v>
      </c>
      <c r="W34" s="16">
        <f>'C５级比赛'!W34*2</f>
        <v>8.34117647058823</v>
      </c>
      <c r="X34" s="16">
        <f>'C５级比赛'!X34*2</f>
        <v>6.97377049180328</v>
      </c>
      <c r="Y34" s="16">
        <f>'C５级比赛'!Y34*2</f>
        <v>5.99154929577465</v>
      </c>
      <c r="Z34" s="16">
        <f>'C５级比赛'!Z34*2</f>
        <v>5.25185185185185</v>
      </c>
      <c r="AA34" s="16">
        <f>'C５级比赛'!AA34*2</f>
        <v>4.67472527472527</v>
      </c>
      <c r="AB34" s="16">
        <f>'C５级比赛'!AB34*2</f>
        <v>4.254</v>
      </c>
      <c r="AC34" s="16">
        <f>'C５级比赛'!AC34*2</f>
        <v>3.51570247933884</v>
      </c>
      <c r="AD34" s="16">
        <f>'C５级比赛'!AD34*2</f>
        <v>3.01702127659574</v>
      </c>
      <c r="AE34" s="16">
        <f>'C５级比赛'!AE34*2</f>
        <v>2.64223602484472</v>
      </c>
      <c r="AF34" s="25">
        <f>'C５级比赛'!AF34*2</f>
        <v>2.35027624309392</v>
      </c>
      <c r="AG34" s="39">
        <f>'C５级比赛'!AG34*2</f>
        <v>2795.79885791318</v>
      </c>
      <c r="AH34" s="27">
        <f>'C５级比赛'!AH34*2</f>
        <v>6.9720669773396</v>
      </c>
      <c r="AI34" s="25"/>
      <c r="AJ34" s="25"/>
      <c r="AK34" s="25"/>
      <c r="AL34" s="25"/>
      <c r="AM34" s="25"/>
      <c r="AN34" s="25"/>
      <c r="AO34" s="25"/>
      <c r="AP34" s="25"/>
      <c r="AQ34" s="24"/>
      <c r="AR34" s="24"/>
      <c r="AS34" s="24"/>
      <c r="AT34" s="24"/>
      <c r="AU34" s="24"/>
      <c r="AV34" s="24"/>
      <c r="AW34" s="24"/>
      <c r="AX34" s="24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</row>
    <row r="35" spans="1:110">
      <c r="A35" s="22" t="s">
        <v>73</v>
      </c>
      <c r="B35" s="16">
        <f>'C５级比赛'!B35*2</f>
        <v>592.6</v>
      </c>
      <c r="C35" s="16">
        <f>'C５级比赛'!C35*2</f>
        <v>414.82</v>
      </c>
      <c r="D35" s="16">
        <f>'C５级比赛'!D35*2</f>
        <v>296.3</v>
      </c>
      <c r="E35" s="16">
        <f>'C５级比赛'!E35*2</f>
        <v>207.41</v>
      </c>
      <c r="F35" s="16">
        <f>'C５级比赛'!F35*2</f>
        <v>118.52</v>
      </c>
      <c r="G35" s="16">
        <f>'C５级比赛'!G35*2</f>
        <v>98.7666666666667</v>
      </c>
      <c r="H35" s="16">
        <f>'C５级比赛'!H35*2</f>
        <v>84.6571428571429</v>
      </c>
      <c r="I35" s="16">
        <f>'C５级比赛'!I35*2</f>
        <v>74.075</v>
      </c>
      <c r="J35" s="16">
        <f>'C５级比赛'!J35*2</f>
        <v>65.8444444444444</v>
      </c>
      <c r="K35" s="16">
        <f>'C５级比赛'!K35*2</f>
        <v>59.26</v>
      </c>
      <c r="L35" s="16">
        <f>'C５级比赛'!L35*2</f>
        <v>53.8727272727273</v>
      </c>
      <c r="M35" s="16">
        <f>'C５级比赛'!M35*2</f>
        <v>49.3833333333333</v>
      </c>
      <c r="N35" s="16">
        <f>'C５级比赛'!N35*2</f>
        <v>45.5846153846154</v>
      </c>
      <c r="O35" s="16">
        <f>'C５级比赛'!O35*2</f>
        <v>42.3285714285714</v>
      </c>
      <c r="P35" s="16">
        <f>'C５级比赛'!P35*2</f>
        <v>39.5066666666667</v>
      </c>
      <c r="Q35" s="16">
        <f>'C５级比赛'!Q35*2</f>
        <v>37.0375</v>
      </c>
      <c r="R35" s="16">
        <f>'C５级比赛'!R35*2</f>
        <v>32.9222222222222</v>
      </c>
      <c r="S35" s="16">
        <f>'C５级比赛'!S35*2</f>
        <v>29.63</v>
      </c>
      <c r="T35" s="16">
        <f>'C５级比赛'!T35*2</f>
        <v>22.7923076923077</v>
      </c>
      <c r="U35" s="16">
        <f>'C５级比赛'!U35*2</f>
        <v>19.7533333333333</v>
      </c>
      <c r="V35" s="16">
        <f>'C５级比赛'!V35*2</f>
        <v>14.4536585365854</v>
      </c>
      <c r="W35" s="16">
        <f>'C５级比赛'!W35*2</f>
        <v>11.6196078431373</v>
      </c>
      <c r="X35" s="16">
        <f>'C５级比赛'!X35*2</f>
        <v>9.71475409836066</v>
      </c>
      <c r="Y35" s="16">
        <f>'C５级比赛'!Y35*2</f>
        <v>8.34647887323944</v>
      </c>
      <c r="Z35" s="16">
        <f>'C５级比赛'!Z35*2</f>
        <v>7.31604938271605</v>
      </c>
      <c r="AA35" s="16">
        <f>'C５级比赛'!AA35*2</f>
        <v>6.51208791208791</v>
      </c>
      <c r="AB35" s="16">
        <f>'C５级比赛'!AB35*2</f>
        <v>5.926</v>
      </c>
      <c r="AC35" s="16">
        <f>'C５级比赛'!AC35*2</f>
        <v>4.89752066115703</v>
      </c>
      <c r="AD35" s="16">
        <f>'C５级比赛'!AD35*2</f>
        <v>4.20283687943262</v>
      </c>
      <c r="AE35" s="16">
        <f>'C５级比赛'!AE35*2</f>
        <v>3.68074534161491</v>
      </c>
      <c r="AF35" s="25">
        <f>'C５级比赛'!AF35*2</f>
        <v>3.27403314917127</v>
      </c>
      <c r="AG35" s="25">
        <f>'C５级比赛'!AG35*2</f>
        <v>2.94825870646766</v>
      </c>
      <c r="AH35" s="39">
        <f>'C５级比赛'!AH35*2</f>
        <v>4189.49066425126</v>
      </c>
      <c r="AI35" s="27">
        <f>'C５级比赛'!AI35*2</f>
        <v>6.97086632986898</v>
      </c>
      <c r="AJ35" s="25"/>
      <c r="AK35" s="25"/>
      <c r="AL35" s="25"/>
      <c r="AM35" s="25"/>
      <c r="AN35" s="25"/>
      <c r="AO35" s="25"/>
      <c r="AP35" s="25"/>
      <c r="AQ35" s="24"/>
      <c r="AR35" s="24"/>
      <c r="AS35" s="24"/>
      <c r="AT35" s="24"/>
      <c r="AU35" s="24"/>
      <c r="AV35" s="24"/>
      <c r="AW35" s="24"/>
      <c r="AX35" s="24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</row>
    <row r="36" spans="1:110">
      <c r="A36" s="22" t="s">
        <v>74</v>
      </c>
      <c r="B36" s="16">
        <f>'C５级比赛'!B36*2</f>
        <v>754.4</v>
      </c>
      <c r="C36" s="16">
        <f>'C５级比赛'!C36*2</f>
        <v>528.08</v>
      </c>
      <c r="D36" s="16">
        <f>'C５级比赛'!D36*2</f>
        <v>377.2</v>
      </c>
      <c r="E36" s="16">
        <f>'C５级比赛'!E36*2</f>
        <v>264.04</v>
      </c>
      <c r="F36" s="16">
        <f>'C５级比赛'!F36*2</f>
        <v>150.88</v>
      </c>
      <c r="G36" s="16">
        <f>'C５级比赛'!G36*2</f>
        <v>125.733333333333</v>
      </c>
      <c r="H36" s="16">
        <f>'C５级比赛'!H36*2</f>
        <v>107.771428571429</v>
      </c>
      <c r="I36" s="16">
        <f>'C５级比赛'!I36*2</f>
        <v>94.3</v>
      </c>
      <c r="J36" s="16">
        <f>'C５级比赛'!J36*2</f>
        <v>83.8222222222222</v>
      </c>
      <c r="K36" s="16">
        <f>'C５级比赛'!K36*2</f>
        <v>75.44</v>
      </c>
      <c r="L36" s="16">
        <f>'C５级比赛'!L36*2</f>
        <v>68.5818181818182</v>
      </c>
      <c r="M36" s="16">
        <f>'C５级比赛'!M36*2</f>
        <v>62.8666666666667</v>
      </c>
      <c r="N36" s="16">
        <f>'C５级比赛'!N36*2</f>
        <v>58.0307692307692</v>
      </c>
      <c r="O36" s="16">
        <f>'C５级比赛'!O36*2</f>
        <v>53.8857142857143</v>
      </c>
      <c r="P36" s="16">
        <f>'C５级比赛'!P36*2</f>
        <v>50.2933333333333</v>
      </c>
      <c r="Q36" s="16">
        <f>'C５级比赛'!Q36*2</f>
        <v>47.15</v>
      </c>
      <c r="R36" s="16">
        <f>'C５级比赛'!R36*2</f>
        <v>41.9111111111111</v>
      </c>
      <c r="S36" s="16">
        <f>'C５级比赛'!S36*2</f>
        <v>37.72</v>
      </c>
      <c r="T36" s="16">
        <f>'C５级比赛'!T36*2</f>
        <v>29.0153846153846</v>
      </c>
      <c r="U36" s="16">
        <f>'C５级比赛'!U36*2</f>
        <v>25.1466666666667</v>
      </c>
      <c r="V36" s="16">
        <f>'C５级比赛'!V36*2</f>
        <v>18.4</v>
      </c>
      <c r="W36" s="16">
        <f>'C５级比赛'!W36*2</f>
        <v>14.7921568627451</v>
      </c>
      <c r="X36" s="16">
        <f>'C５级比赛'!X36*2</f>
        <v>12.3672131147541</v>
      </c>
      <c r="Y36" s="16">
        <f>'C５级比赛'!Y36*2</f>
        <v>10.6253521126761</v>
      </c>
      <c r="Z36" s="16">
        <f>'C５级比赛'!Z36*2</f>
        <v>9.31358024691358</v>
      </c>
      <c r="AA36" s="16">
        <f>'C５级比赛'!AA36*2</f>
        <v>8.29010989010989</v>
      </c>
      <c r="AB36" s="16">
        <f>'C５级比赛'!AB36*2</f>
        <v>7.544</v>
      </c>
      <c r="AC36" s="16">
        <f>'C５级比赛'!AC36*2</f>
        <v>6.23471074380165</v>
      </c>
      <c r="AD36" s="16">
        <f>'C５级比赛'!AD36*2</f>
        <v>5.35035460992908</v>
      </c>
      <c r="AE36" s="16">
        <f>'C５级比赛'!AE36*2</f>
        <v>4.68571428571429</v>
      </c>
      <c r="AF36" s="25">
        <f>'C５级比赛'!AF36*2</f>
        <v>4.16795580110497</v>
      </c>
      <c r="AG36" s="25">
        <f>'C５级比赛'!AG36*2</f>
        <v>3.75323383084577</v>
      </c>
      <c r="AH36" s="25">
        <f>'C５级比赛'!AH36*2</f>
        <v>2.5063122923588</v>
      </c>
      <c r="AI36" s="39">
        <f>'C５级比赛'!AI36*2</f>
        <v>5583.99565230565</v>
      </c>
      <c r="AJ36" s="27">
        <f>'C５级比赛'!AJ36*2</f>
        <v>6.97128046480106</v>
      </c>
      <c r="AK36" s="25"/>
      <c r="AL36" s="25"/>
      <c r="AM36" s="25"/>
      <c r="AN36" s="25"/>
      <c r="AO36" s="25"/>
      <c r="AP36" s="25"/>
      <c r="AQ36" s="24"/>
      <c r="AR36" s="24"/>
      <c r="AS36" s="24"/>
      <c r="AT36" s="24"/>
      <c r="AU36" s="24"/>
      <c r="AV36" s="24"/>
      <c r="AW36" s="24"/>
      <c r="AX36" s="24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</row>
    <row r="37" s="2" customFormat="1" spans="1:110">
      <c r="A37" s="19" t="s">
        <v>75</v>
      </c>
      <c r="B37" s="13">
        <f>'C５级比赛'!B37*2</f>
        <v>912</v>
      </c>
      <c r="C37" s="13">
        <f>'C５级比赛'!C37*2</f>
        <v>638.4</v>
      </c>
      <c r="D37" s="13">
        <f>'C５级比赛'!D37*2</f>
        <v>456</v>
      </c>
      <c r="E37" s="13">
        <f>'C５级比赛'!E37*2</f>
        <v>319.2</v>
      </c>
      <c r="F37" s="13">
        <f>'C５级比赛'!F37*2</f>
        <v>182.4</v>
      </c>
      <c r="G37" s="13">
        <f>'C５级比赛'!G37*2</f>
        <v>152</v>
      </c>
      <c r="H37" s="13">
        <f>'C５级比赛'!H37*2</f>
        <v>130.285714285714</v>
      </c>
      <c r="I37" s="13">
        <f>'C５级比赛'!I37*2</f>
        <v>114</v>
      </c>
      <c r="J37" s="13">
        <f>'C５级比赛'!J37*2</f>
        <v>101.333333333333</v>
      </c>
      <c r="K37" s="13">
        <f>'C５级比赛'!K37*2</f>
        <v>91.2</v>
      </c>
      <c r="L37" s="13">
        <f>'C５级比赛'!L37*2</f>
        <v>82.9090909090909</v>
      </c>
      <c r="M37" s="13">
        <f>'C５级比赛'!M37*2</f>
        <v>76</v>
      </c>
      <c r="N37" s="13">
        <f>'C５级比赛'!N37*2</f>
        <v>70.1538461538462</v>
      </c>
      <c r="O37" s="13">
        <f>'C５级比赛'!O37*2</f>
        <v>65.1428571428571</v>
      </c>
      <c r="P37" s="13">
        <f>'C５级比赛'!P37*2</f>
        <v>60.8</v>
      </c>
      <c r="Q37" s="13">
        <f>'C５级比赛'!Q37*2</f>
        <v>57</v>
      </c>
      <c r="R37" s="13">
        <f>'C５级比赛'!R37*2</f>
        <v>50.6666666666667</v>
      </c>
      <c r="S37" s="13">
        <f>'C５级比赛'!S37*2</f>
        <v>45.6</v>
      </c>
      <c r="T37" s="13">
        <f>'C５级比赛'!T37*2</f>
        <v>35.0769230769231</v>
      </c>
      <c r="U37" s="13">
        <f>'C５级比赛'!U37*2</f>
        <v>30.4</v>
      </c>
      <c r="V37" s="13">
        <f>'C５级比赛'!V37*2</f>
        <v>22.2439024390244</v>
      </c>
      <c r="W37" s="13">
        <f>'C５级比赛'!W37*2</f>
        <v>17.8823529411765</v>
      </c>
      <c r="X37" s="13">
        <f>'C５级比赛'!X37*2</f>
        <v>14.9508196721311</v>
      </c>
      <c r="Y37" s="13">
        <f>'C５级比赛'!Y37*2</f>
        <v>12.8450704225352</v>
      </c>
      <c r="Z37" s="13">
        <f>'C５级比赛'!Z37*2</f>
        <v>11.2592592592593</v>
      </c>
      <c r="AA37" s="13">
        <f>'C５级比赛'!AA37*2</f>
        <v>10.021978021978</v>
      </c>
      <c r="AB37" s="13">
        <f>'C５级比赛'!AB37*2</f>
        <v>9.12</v>
      </c>
      <c r="AC37" s="13">
        <f>'C５级比赛'!AC37*2</f>
        <v>7.53719008264463</v>
      </c>
      <c r="AD37" s="13">
        <f>'C５级比赛'!AD37*2</f>
        <v>6.46808510638298</v>
      </c>
      <c r="AE37" s="13">
        <f>'C５级比赛'!AE37*2</f>
        <v>5.66459627329193</v>
      </c>
      <c r="AF37" s="29">
        <f>'C５级比赛'!AF37*2</f>
        <v>5.03867403314917</v>
      </c>
      <c r="AG37" s="29">
        <f>'C５级比赛'!AG37*2</f>
        <v>4.53731343283582</v>
      </c>
      <c r="AH37" s="29">
        <f>'C５级比赛'!AH37*2</f>
        <v>3.02990033222591</v>
      </c>
      <c r="AI37" s="29">
        <f>'C５级比赛'!AI37*2</f>
        <v>2.27431421446384</v>
      </c>
      <c r="AJ37" s="39">
        <f>'C５级比赛'!AJ37*2</f>
        <v>6977.96699263243</v>
      </c>
      <c r="AK37" s="27">
        <f>'C５级比赛'!AK37*2</f>
        <v>6.9709959966358</v>
      </c>
      <c r="AL37" s="25"/>
      <c r="AM37" s="25"/>
      <c r="AN37" s="25"/>
      <c r="AO37" s="25"/>
      <c r="AP37" s="25"/>
      <c r="AQ37" s="24"/>
      <c r="AR37" s="24"/>
      <c r="AS37" s="24"/>
      <c r="AT37" s="24"/>
      <c r="AU37" s="24"/>
      <c r="AV37" s="24"/>
      <c r="AW37" s="24"/>
      <c r="AX37" s="24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</row>
    <row r="38" spans="1:110">
      <c r="A38" s="22" t="s">
        <v>76</v>
      </c>
      <c r="B38" s="16">
        <f>'C５级比赛'!B38*2</f>
        <v>1003.2</v>
      </c>
      <c r="C38" s="16">
        <f>'C５级比赛'!C38*2</f>
        <v>912.912</v>
      </c>
      <c r="D38" s="16">
        <f>'C５级比赛'!D38*2</f>
        <v>652.08</v>
      </c>
      <c r="E38" s="16">
        <f>'C５级比赛'!E38*2</f>
        <v>491.568</v>
      </c>
      <c r="F38" s="16">
        <f>'C５级比赛'!F38*2</f>
        <v>280.896</v>
      </c>
      <c r="G38" s="16">
        <f>'C５级比赛'!G38*2</f>
        <v>234.08</v>
      </c>
      <c r="H38" s="16">
        <f>'C５级比赛'!H38*2</f>
        <v>200.64</v>
      </c>
      <c r="I38" s="16">
        <f>'C５级比赛'!I38*2</f>
        <v>175.56</v>
      </c>
      <c r="J38" s="16">
        <f>'C５级比赛'!J38*2</f>
        <v>156.053333333333</v>
      </c>
      <c r="K38" s="16">
        <f>'C５级比赛'!K38*2</f>
        <v>140.448</v>
      </c>
      <c r="L38" s="16">
        <f>'C５级比赛'!L38*2</f>
        <v>127.68</v>
      </c>
      <c r="M38" s="16">
        <f>'C５级比赛'!M38*2</f>
        <v>117.04</v>
      </c>
      <c r="N38" s="16">
        <f>'C５级比赛'!N38*2</f>
        <v>108.036923076923</v>
      </c>
      <c r="O38" s="16">
        <f>'C５级比赛'!O38*2</f>
        <v>100.32</v>
      </c>
      <c r="P38" s="16">
        <f>'C５级比赛'!P38*2</f>
        <v>93.632</v>
      </c>
      <c r="Q38" s="16">
        <f>'C５级比赛'!Q38*2</f>
        <v>87.78</v>
      </c>
      <c r="R38" s="16">
        <f>'C５级比赛'!R38*2</f>
        <v>78.0266666666667</v>
      </c>
      <c r="S38" s="16">
        <f>'C５级比赛'!S38*2</f>
        <v>65.208</v>
      </c>
      <c r="T38" s="16">
        <f>'C５级比赛'!T38*2</f>
        <v>50.16</v>
      </c>
      <c r="U38" s="16">
        <f>'C５级比赛'!U38*2</f>
        <v>43.472</v>
      </c>
      <c r="V38" s="16">
        <f>'C５级比赛'!V38*2</f>
        <v>31.8087804878049</v>
      </c>
      <c r="W38" s="16">
        <f>'C５级比赛'!W38*2</f>
        <v>25.5717647058824</v>
      </c>
      <c r="X38" s="16">
        <f>'C５级比赛'!X38*2</f>
        <v>21.3796721311475</v>
      </c>
      <c r="Y38" s="16">
        <f>'C５级比赛'!Y38*2</f>
        <v>18.3684507042254</v>
      </c>
      <c r="Z38" s="16">
        <f>'C５级比赛'!Z38*2</f>
        <v>16.1007407407407</v>
      </c>
      <c r="AA38" s="16">
        <f>'C５级比赛'!AA38*2</f>
        <v>14.3314285714286</v>
      </c>
      <c r="AB38" s="16">
        <f>'C５级比赛'!AB38*2</f>
        <v>13.0416</v>
      </c>
      <c r="AC38" s="16">
        <f>'C５级比赛'!AC38*2</f>
        <v>10.7781818181818</v>
      </c>
      <c r="AD38" s="16">
        <f>'C５级比赛'!AD38*2</f>
        <v>9.24936170212766</v>
      </c>
      <c r="AE38" s="16">
        <f>'C５级比赛'!AE38*2</f>
        <v>8.10037267080745</v>
      </c>
      <c r="AF38" s="25">
        <f>'C５级比赛'!AF38*2</f>
        <v>7.20530386740332</v>
      </c>
      <c r="AG38" s="25">
        <f>'C５级比赛'!AG38*2</f>
        <v>6.48835820895522</v>
      </c>
      <c r="AH38" s="25">
        <f>'C５级比赛'!AH38*2</f>
        <v>4.33275747508306</v>
      </c>
      <c r="AI38" s="25">
        <f>'C５级比赛'!AI38*2</f>
        <v>3.25226932668329</v>
      </c>
      <c r="AJ38" s="25">
        <f>'C５级比赛'!AJ38*2</f>
        <v>2.60311377245509</v>
      </c>
      <c r="AK38" s="39">
        <f>'C５级比赛'!AK38*2</f>
        <v>10516.5679751789</v>
      </c>
      <c r="AL38" s="27">
        <f>'C５级比赛'!AL38*2</f>
        <v>7.00637440051891</v>
      </c>
      <c r="AM38" s="25"/>
      <c r="AN38" s="25"/>
      <c r="AO38" s="25"/>
      <c r="AP38" s="25"/>
      <c r="AQ38" s="24"/>
      <c r="AR38" s="24"/>
      <c r="AS38" s="24"/>
      <c r="AT38" s="24"/>
      <c r="AU38" s="24"/>
      <c r="AV38" s="24"/>
      <c r="AW38" s="24"/>
      <c r="AX38" s="24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</row>
    <row r="39" spans="1:110">
      <c r="A39" s="22" t="s">
        <v>77</v>
      </c>
      <c r="B39" s="16">
        <f>'C５级比赛'!B39*2</f>
        <v>1103.52</v>
      </c>
      <c r="C39" s="16">
        <f>'C５级比赛'!C39*2</f>
        <v>1004.2032</v>
      </c>
      <c r="D39" s="16">
        <f>'C５级比赛'!D39*2</f>
        <v>937.992</v>
      </c>
      <c r="E39" s="16">
        <f>'C５级比赛'!E39*2</f>
        <v>656.5944</v>
      </c>
      <c r="F39" s="16">
        <f>'C５级比赛'!F39*2</f>
        <v>375.1968</v>
      </c>
      <c r="G39" s="16">
        <f>'C５级比赛'!G39*2</f>
        <v>312.664</v>
      </c>
      <c r="H39" s="16">
        <f>'C５级比赛'!H39*2</f>
        <v>267.997714285714</v>
      </c>
      <c r="I39" s="16">
        <f>'C５级比赛'!I39*2</f>
        <v>234.498</v>
      </c>
      <c r="J39" s="16">
        <f>'C５级比赛'!J39*2</f>
        <v>208.442666666667</v>
      </c>
      <c r="K39" s="16">
        <f>'C５级比赛'!K39*2</f>
        <v>187.5984</v>
      </c>
      <c r="L39" s="16">
        <f>'C５级比赛'!L39*2</f>
        <v>170.544</v>
      </c>
      <c r="M39" s="16">
        <f>'C５级比赛'!M39*2</f>
        <v>156.332</v>
      </c>
      <c r="N39" s="16">
        <f>'C５级比赛'!N39*2</f>
        <v>144.306461538462</v>
      </c>
      <c r="O39" s="16">
        <f>'C５级比赛'!O39*2</f>
        <v>133.998857142857</v>
      </c>
      <c r="P39" s="16">
        <f>'C５级比赛'!P39*2</f>
        <v>125.0656</v>
      </c>
      <c r="Q39" s="16">
        <f>'C５级比赛'!Q39*2</f>
        <v>117.249</v>
      </c>
      <c r="R39" s="16">
        <f>'C５级比赛'!R39*2</f>
        <v>104.221333333333</v>
      </c>
      <c r="S39" s="16">
        <f>'C５级比赛'!S39*2</f>
        <v>93.7992</v>
      </c>
      <c r="T39" s="16">
        <f>'C５级比赛'!T39*2</f>
        <v>72.1532307692308</v>
      </c>
      <c r="U39" s="16">
        <f>'C５级比赛'!U39*2</f>
        <v>62.5328</v>
      </c>
      <c r="V39" s="16">
        <f>'C５级比赛'!V39*2</f>
        <v>40.3726829268293</v>
      </c>
      <c r="W39" s="16">
        <f>'C５级比赛'!W39*2</f>
        <v>32.4564705882353</v>
      </c>
      <c r="X39" s="16">
        <f>'C５级比赛'!X39*2</f>
        <v>27.135737704918</v>
      </c>
      <c r="Y39" s="16">
        <f>'C５级比赛'!Y39*2</f>
        <v>23.3138028169014</v>
      </c>
      <c r="Z39" s="16">
        <f>'C５级比赛'!Z39*2</f>
        <v>20.4355555555556</v>
      </c>
      <c r="AA39" s="16">
        <f>'C５级比赛'!AA39*2</f>
        <v>18.1898901098901</v>
      </c>
      <c r="AB39" s="16">
        <f>'C５级比赛'!AB39*2</f>
        <v>16.5528</v>
      </c>
      <c r="AC39" s="16">
        <f>'C５级比赛'!AC39*2</f>
        <v>13.68</v>
      </c>
      <c r="AD39" s="16">
        <f>'C５级比赛'!AD39*2</f>
        <v>11.7395744680851</v>
      </c>
      <c r="AE39" s="16">
        <f>'C５级比赛'!AE39*2</f>
        <v>10.2812422360248</v>
      </c>
      <c r="AF39" s="25">
        <f>'C５级比赛'!AF39*2</f>
        <v>9.14519337016575</v>
      </c>
      <c r="AG39" s="25">
        <f>'C５级比赛'!AG39*2</f>
        <v>8.23522388059702</v>
      </c>
      <c r="AH39" s="25">
        <f>'C５级比赛'!AH39*2</f>
        <v>5.49926910299003</v>
      </c>
      <c r="AI39" s="25">
        <f>'C５级比赛'!AI39*2</f>
        <v>4.12788029925187</v>
      </c>
      <c r="AJ39" s="25">
        <f>'C５级比赛'!AJ39*2</f>
        <v>3.30395209580838</v>
      </c>
      <c r="AK39" s="25">
        <f>'C５级比赛'!AK39*2</f>
        <v>2.20410119840213</v>
      </c>
      <c r="AL39" s="39">
        <f>'C５级比赛'!AL39*2</f>
        <v>14031.4745038252</v>
      </c>
      <c r="AM39" s="27">
        <f>'C５级比赛'!AM39*2</f>
        <v>7.01223113634442</v>
      </c>
      <c r="AN39" s="25"/>
      <c r="AO39" s="25"/>
      <c r="AP39" s="25"/>
      <c r="AQ39" s="24"/>
      <c r="AR39" s="24"/>
      <c r="AS39" s="24"/>
      <c r="AT39" s="24"/>
      <c r="AU39" s="24"/>
      <c r="AV39" s="24"/>
      <c r="AW39" s="24"/>
      <c r="AX39" s="24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</row>
    <row r="40" spans="1:110">
      <c r="A40" s="22" t="s">
        <v>78</v>
      </c>
      <c r="B40" s="16">
        <f>'C５级比赛'!B40*2</f>
        <v>1269.048</v>
      </c>
      <c r="C40" s="16">
        <f>'C５级比赛'!C40*2</f>
        <v>1154.83368</v>
      </c>
      <c r="D40" s="16">
        <f>'C５级比赛'!D40*2</f>
        <v>1046.9646</v>
      </c>
      <c r="E40" s="16">
        <f>'C５级比赛'!E40*2</f>
        <v>977.16696</v>
      </c>
      <c r="F40" s="16">
        <f>'C５级比赛'!F40*2</f>
        <v>558.38112</v>
      </c>
      <c r="G40" s="16">
        <f>'C５级比赛'!G40*2</f>
        <v>465.3176</v>
      </c>
      <c r="H40" s="16">
        <f>'C５级比赛'!H40*2</f>
        <v>398.843657142857</v>
      </c>
      <c r="I40" s="16">
        <f>'C５级比赛'!I40*2</f>
        <v>348.9882</v>
      </c>
      <c r="J40" s="16">
        <f>'C５级比赛'!J40*2</f>
        <v>310.211733333333</v>
      </c>
      <c r="K40" s="16">
        <f>'C５级比赛'!K40*2</f>
        <v>279.19056</v>
      </c>
      <c r="L40" s="16">
        <f>'C５级比赛'!L40*2</f>
        <v>253.8096</v>
      </c>
      <c r="M40" s="16">
        <f>'C５级比赛'!M40*2</f>
        <v>232.6588</v>
      </c>
      <c r="N40" s="16">
        <f>'C５级比赛'!N40*2</f>
        <v>214.761969230769</v>
      </c>
      <c r="O40" s="16">
        <f>'C５级比赛'!O40*2</f>
        <v>199.421828571429</v>
      </c>
      <c r="P40" s="16">
        <f>'C５级比赛'!P40*2</f>
        <v>186.12704</v>
      </c>
      <c r="Q40" s="16">
        <f>'C５级比赛'!Q40*2</f>
        <v>174.4941</v>
      </c>
      <c r="R40" s="16">
        <f>'C５级比赛'!R40*2</f>
        <v>155.105866666667</v>
      </c>
      <c r="S40" s="16">
        <f>'C５级比赛'!S40*2</f>
        <v>139.59528</v>
      </c>
      <c r="T40" s="16">
        <f>'C５级比赛'!T40*2</f>
        <v>107.380984615385</v>
      </c>
      <c r="U40" s="16">
        <f>'C５级比赛'!U40*2</f>
        <v>93.06352</v>
      </c>
      <c r="V40" s="16">
        <f>'C５级比赛'!V40*2</f>
        <v>68.0952585365854</v>
      </c>
      <c r="W40" s="16">
        <f>'C５级比赛'!W40*2</f>
        <v>54.7432470588235</v>
      </c>
      <c r="X40" s="16">
        <f>'C５级比赛'!X40*2</f>
        <v>45.7689442622951</v>
      </c>
      <c r="Y40" s="16">
        <f>'C５级比赛'!Y40*2</f>
        <v>39.3226140845071</v>
      </c>
      <c r="Z40" s="16">
        <f>'C５级比赛'!Z40*2</f>
        <v>34.4679703703704</v>
      </c>
      <c r="AA40" s="16">
        <f>'C５级比赛'!AA40*2</f>
        <v>30.6802813186813</v>
      </c>
      <c r="AB40" s="16">
        <f>'C５级比赛'!AB40*2</f>
        <v>27.919056</v>
      </c>
      <c r="AC40" s="16">
        <f>'C５级比赛'!AC40*2</f>
        <v>23.0736</v>
      </c>
      <c r="AD40" s="16">
        <f>'C５级比赛'!AD40*2</f>
        <v>18.0006808510638</v>
      </c>
      <c r="AE40" s="16">
        <f>'C５级比赛'!AE40*2</f>
        <v>15.7645714285714</v>
      </c>
      <c r="AF40" s="25">
        <f>'C５级比赛'!AF40*2</f>
        <v>14.0226298342541</v>
      </c>
      <c r="AG40" s="25">
        <f>'C５级比赛'!AG40*2</f>
        <v>12.6273432835821</v>
      </c>
      <c r="AH40" s="25">
        <f>'C５级比赛'!AH40*2</f>
        <v>8.43221262458472</v>
      </c>
      <c r="AI40" s="25">
        <f>'C５级比赛'!AI40*2</f>
        <v>6.32941645885287</v>
      </c>
      <c r="AJ40" s="25">
        <f>'C５级比赛'!AJ40*2</f>
        <v>4.05284790419162</v>
      </c>
      <c r="AK40" s="25">
        <f>'C５级比赛'!AK40*2</f>
        <v>2.70369747003995</v>
      </c>
      <c r="AL40" s="25">
        <f>'C５级比赛'!AL40*2</f>
        <v>2.02844835164835</v>
      </c>
      <c r="AM40" s="39">
        <f>'C５级比赛'!AM40*2</f>
        <v>21024.1993460298</v>
      </c>
      <c r="AN40" s="27">
        <f>'C５级比赛'!AN40*2</f>
        <v>7.00573120494161</v>
      </c>
      <c r="AO40" s="25"/>
      <c r="AP40" s="25"/>
      <c r="AQ40" s="24"/>
      <c r="AR40" s="24"/>
      <c r="AS40" s="24"/>
      <c r="AT40" s="24"/>
      <c r="AU40" s="24"/>
      <c r="AV40" s="24"/>
      <c r="AW40" s="24"/>
      <c r="AX40" s="24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</row>
    <row r="41" spans="1:110">
      <c r="A41" s="22" t="s">
        <v>79</v>
      </c>
      <c r="B41" s="16">
        <f>'C５级比赛'!B41*2</f>
        <v>1459.4052</v>
      </c>
      <c r="C41" s="16">
        <f>'C５级比赛'!C41*2</f>
        <v>1328.058732</v>
      </c>
      <c r="D41" s="16">
        <f>'C５级比赛'!D41*2</f>
        <v>1204.00929</v>
      </c>
      <c r="E41" s="16">
        <f>'C５级比赛'!E41*2</f>
        <v>1123.742004</v>
      </c>
      <c r="F41" s="16">
        <f>'C５级比赛'!F41*2</f>
        <v>758.890704</v>
      </c>
      <c r="G41" s="16">
        <f>'C５级比赛'!G41*2</f>
        <v>632.40892</v>
      </c>
      <c r="H41" s="16">
        <f>'C５级比赛'!H41*2</f>
        <v>542.064788571429</v>
      </c>
      <c r="I41" s="16">
        <f>'C５级比赛'!I41*2</f>
        <v>474.30669</v>
      </c>
      <c r="J41" s="16">
        <f>'C５级比赛'!J41*2</f>
        <v>421.605946666667</v>
      </c>
      <c r="K41" s="16">
        <f>'C５级比赛'!K41*2</f>
        <v>379.445352</v>
      </c>
      <c r="L41" s="16">
        <f>'C５级比赛'!L41*2</f>
        <v>344.95032</v>
      </c>
      <c r="M41" s="16">
        <f>'C５级比赛'!M41*2</f>
        <v>316.20446</v>
      </c>
      <c r="N41" s="16">
        <f>'C５级比赛'!N41*2</f>
        <v>291.88104</v>
      </c>
      <c r="O41" s="16">
        <f>'C５级比赛'!O41*2</f>
        <v>271.032394285714</v>
      </c>
      <c r="P41" s="16">
        <f>'C５级比赛'!P41*2</f>
        <v>252.963568</v>
      </c>
      <c r="Q41" s="16">
        <f>'C５级比赛'!Q41*2</f>
        <v>237.153345</v>
      </c>
      <c r="R41" s="16">
        <f>'C５级比赛'!R41*2</f>
        <v>210.802973333333</v>
      </c>
      <c r="S41" s="16">
        <f>'C５级比赛'!S41*2</f>
        <v>189.722676</v>
      </c>
      <c r="T41" s="16">
        <f>'C５级比赛'!T41*2</f>
        <v>145.94052</v>
      </c>
      <c r="U41" s="16">
        <f>'C５级比赛'!U41*2</f>
        <v>126.481784</v>
      </c>
      <c r="V41" s="16">
        <f>'C５级比赛'!V41*2</f>
        <v>92.5476468292683</v>
      </c>
      <c r="W41" s="16">
        <f>'C５级比赛'!W41*2</f>
        <v>74.4010494117647</v>
      </c>
      <c r="X41" s="16">
        <f>'C５级比赛'!X41*2</f>
        <v>62.2041560655738</v>
      </c>
      <c r="Y41" s="16">
        <f>'C５级比赛'!Y41*2</f>
        <v>53.4430073239437</v>
      </c>
      <c r="Z41" s="16">
        <f>'C５级比赛'!Z41*2</f>
        <v>46.8451051851852</v>
      </c>
      <c r="AA41" s="16">
        <f>'C５级比赛'!AA41*2</f>
        <v>41.6972914285714</v>
      </c>
      <c r="AB41" s="16">
        <f>'C５级比赛'!AB41*2</f>
        <v>37.9445352</v>
      </c>
      <c r="AC41" s="16">
        <f>'C５级比赛'!AC41*2</f>
        <v>26.53464</v>
      </c>
      <c r="AD41" s="16">
        <f>'C５级比赛'!AD41*2</f>
        <v>22.7708612765957</v>
      </c>
      <c r="AE41" s="16">
        <f>'C５级比赛'!AE41*2</f>
        <v>19.9421828571429</v>
      </c>
      <c r="AF41" s="25">
        <f>'C５级比赛'!AF41*2</f>
        <v>17.7386267403315</v>
      </c>
      <c r="AG41" s="25">
        <f>'C５级比赛'!AG41*2</f>
        <v>15.9735892537313</v>
      </c>
      <c r="AH41" s="25">
        <f>'C５级比赛'!AH41*2</f>
        <v>9.69704451827243</v>
      </c>
      <c r="AI41" s="25">
        <f>'C５级比赛'!AI41*2</f>
        <v>7.2788289276808</v>
      </c>
      <c r="AJ41" s="25">
        <f>'C５级比赛'!AJ41*2</f>
        <v>5.82596886227545</v>
      </c>
      <c r="AK41" s="25">
        <f>'C５级比赛'!AK41*2</f>
        <v>3.88656511318242</v>
      </c>
      <c r="AL41" s="25">
        <f>'C５级比赛'!AL41*2</f>
        <v>2.91589450549451</v>
      </c>
      <c r="AM41" s="25">
        <f>'C５级比赛'!AM41*2</f>
        <v>1.5556617721519</v>
      </c>
      <c r="AN41" s="39">
        <f>'C５级比赛'!AN41*2</f>
        <v>28019.6762261044</v>
      </c>
      <c r="AO41" s="27">
        <f>'C５级比赛'!AO41*2</f>
        <v>7.00316826445999</v>
      </c>
      <c r="AP41" s="25"/>
      <c r="AQ41" s="24"/>
      <c r="AR41" s="24"/>
      <c r="AS41" s="24"/>
      <c r="AT41" s="24"/>
      <c r="AU41" s="24"/>
      <c r="AV41" s="24"/>
      <c r="AW41" s="24"/>
      <c r="AX41" s="24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</row>
    <row r="42" spans="1:110">
      <c r="A42" s="22" t="s">
        <v>80</v>
      </c>
      <c r="B42" s="16">
        <f>'C５级比赛'!B42*2</f>
        <v>1678.31598</v>
      </c>
      <c r="C42" s="16">
        <f>'C５级比赛'!C42*2</f>
        <v>1527.2675418</v>
      </c>
      <c r="D42" s="16">
        <f>'C５级比赛'!D42*2</f>
        <v>1384.6106835</v>
      </c>
      <c r="E42" s="16">
        <f>'C５级比赛'!E42*2</f>
        <v>1292.3033046</v>
      </c>
      <c r="F42" s="16">
        <f>'C５级比赛'!F42*2</f>
        <v>1107.6885468</v>
      </c>
      <c r="G42" s="16">
        <f>'C５级比赛'!G42*2</f>
        <v>923.073789</v>
      </c>
      <c r="H42" s="16">
        <f>'C５级比赛'!H42*2</f>
        <v>791.206104857143</v>
      </c>
      <c r="I42" s="16">
        <f>'C５级比赛'!I42*2</f>
        <v>692.30534175</v>
      </c>
      <c r="J42" s="16">
        <f>'C５级比赛'!J42*2</f>
        <v>615.382526</v>
      </c>
      <c r="K42" s="16">
        <f>'C５级比赛'!K42*2</f>
        <v>553.8442734</v>
      </c>
      <c r="L42" s="16">
        <f>'C５级比赛'!L42*2</f>
        <v>503.494794</v>
      </c>
      <c r="M42" s="16">
        <f>'C５级比赛'!M42*2</f>
        <v>461.5368945</v>
      </c>
      <c r="N42" s="16">
        <f>'C５级比赛'!N42*2</f>
        <v>426.034056461538</v>
      </c>
      <c r="O42" s="16">
        <f>'C５级比赛'!O42*2</f>
        <v>395.603052428571</v>
      </c>
      <c r="P42" s="16">
        <f>'C５级比赛'!P42*2</f>
        <v>369.2295156</v>
      </c>
      <c r="Q42" s="16">
        <f>'C５级比赛'!Q42*2</f>
        <v>346.152670875</v>
      </c>
      <c r="R42" s="16">
        <f>'C５级比赛'!R42*2</f>
        <v>307.691263</v>
      </c>
      <c r="S42" s="16">
        <f>'C５级比赛'!S42*2</f>
        <v>276.9221367</v>
      </c>
      <c r="T42" s="16">
        <f>'C５级比赛'!T42*2</f>
        <v>213.017028230769</v>
      </c>
      <c r="U42" s="16">
        <f>'C５级比赛'!U42*2</f>
        <v>184.6147578</v>
      </c>
      <c r="V42" s="16">
        <f>'C５级比赛'!V42*2</f>
        <v>135.083969121951</v>
      </c>
      <c r="W42" s="16">
        <f>'C５级比赛'!W42*2</f>
        <v>108.596916352941</v>
      </c>
      <c r="X42" s="16">
        <f>'C５级比赛'!X42*2</f>
        <v>90.7941431803279</v>
      </c>
      <c r="Y42" s="16">
        <f>'C５级比赛'!Y42*2</f>
        <v>78.0062356901409</v>
      </c>
      <c r="Z42" s="16">
        <f>'C５级比赛'!Z42*2</f>
        <v>68.3758362222222</v>
      </c>
      <c r="AA42" s="16">
        <f>'C５级比赛'!AA42*2</f>
        <v>60.8620080659341</v>
      </c>
      <c r="AB42" s="16">
        <f>'C５级比赛'!AB42*2</f>
        <v>55.38442734</v>
      </c>
      <c r="AC42" s="16">
        <f>'C５级比赛'!AC42*2</f>
        <v>45.772254</v>
      </c>
      <c r="AD42" s="16">
        <f>'C５级比赛'!AD42*2</f>
        <v>39.2797357021277</v>
      </c>
      <c r="AE42" s="16">
        <f>'C５级比赛'!AE42*2</f>
        <v>34.4002654285714</v>
      </c>
      <c r="AF42" s="25">
        <f>'C５级比赛'!AF42*2</f>
        <v>30.5991311270718</v>
      </c>
      <c r="AG42" s="25">
        <f>'C５级比赛'!AG42*2</f>
        <v>27.5544414626866</v>
      </c>
      <c r="AH42" s="25">
        <f>'C５级比赛'!AH42*2</f>
        <v>16.7274017940199</v>
      </c>
      <c r="AI42" s="25">
        <f>'C５级比赛'!AI42*2</f>
        <v>12.5559799002494</v>
      </c>
      <c r="AJ42" s="25">
        <f>'C５级比赛'!AJ42*2</f>
        <v>10.0497962874251</v>
      </c>
      <c r="AK42" s="25">
        <f>'C５级比赛'!AK42*2</f>
        <v>5.58693735019973</v>
      </c>
      <c r="AL42" s="25">
        <f>'C５级比赛'!AL42*2</f>
        <v>3.35327868131868</v>
      </c>
      <c r="AM42" s="25">
        <f>'C５级比赛'!AM42*2</f>
        <v>2.23626379746835</v>
      </c>
      <c r="AN42" s="25">
        <f>'C５级比赛'!AN42*2</f>
        <v>1.50972951724138</v>
      </c>
      <c r="AO42" s="39">
        <f>'C５级比赛'!AO42*2</f>
        <v>42056.4927781284</v>
      </c>
      <c r="AP42" s="27">
        <f>'C５级比赛'!AP42*2</f>
        <v>7.00824742178444</v>
      </c>
      <c r="AQ42" s="24"/>
      <c r="AR42" s="24"/>
      <c r="AS42" s="24"/>
      <c r="AT42" s="24"/>
      <c r="AU42" s="24"/>
      <c r="AV42" s="24"/>
      <c r="AW42" s="24"/>
      <c r="AX42" s="24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</row>
    <row r="43" spans="1:110">
      <c r="A43" s="22" t="s">
        <v>81</v>
      </c>
      <c r="B43" s="16">
        <f>'C５级比赛'!B43*2</f>
        <v>1930.063377</v>
      </c>
      <c r="C43" s="16">
        <f>'C５级比赛'!C43*2</f>
        <v>1756.35767307</v>
      </c>
      <c r="D43" s="16">
        <f>'C５级比赛'!D43*2</f>
        <v>1592.302286025</v>
      </c>
      <c r="E43" s="16">
        <f>'C５级比赛'!E43*2</f>
        <v>1486.14880029</v>
      </c>
      <c r="F43" s="16">
        <f>'C５级比赛'!F43*2</f>
        <v>1389.64563144</v>
      </c>
      <c r="G43" s="16">
        <f>'C５级比赛'!G43*2</f>
        <v>1158.0380262</v>
      </c>
      <c r="H43" s="16">
        <f>'C５级比赛'!H43*2</f>
        <v>992.604022457143</v>
      </c>
      <c r="I43" s="16">
        <f>'C５级比赛'!I43*2</f>
        <v>868.52851965</v>
      </c>
      <c r="J43" s="16">
        <f>'C５级比赛'!J43*2</f>
        <v>772.0253508</v>
      </c>
      <c r="K43" s="16">
        <f>'C５级比赛'!K43*2</f>
        <v>694.82281572</v>
      </c>
      <c r="L43" s="16">
        <f>'C５级比赛'!L43*2</f>
        <v>631.6571052</v>
      </c>
      <c r="M43" s="16">
        <f>'C５级比赛'!M43*2</f>
        <v>579.0190131</v>
      </c>
      <c r="N43" s="16">
        <f>'C５级比赛'!N43*2</f>
        <v>534.479089015385</v>
      </c>
      <c r="O43" s="16">
        <f>'C５级比赛'!O43*2</f>
        <v>496.302011228571</v>
      </c>
      <c r="P43" s="16">
        <f>'C５级比赛'!P43*2</f>
        <v>463.21521048</v>
      </c>
      <c r="Q43" s="16">
        <f>'C５级比赛'!Q43*2</f>
        <v>434.264259825</v>
      </c>
      <c r="R43" s="16">
        <f>'C５级比赛'!R43*2</f>
        <v>386.0126754</v>
      </c>
      <c r="S43" s="16">
        <f>'C５级比赛'!S43*2</f>
        <v>347.41140786</v>
      </c>
      <c r="T43" s="16">
        <f>'C５级比赛'!T43*2</f>
        <v>267.239544507692</v>
      </c>
      <c r="U43" s="16">
        <f>'C５级比赛'!U43*2</f>
        <v>231.60760524</v>
      </c>
      <c r="V43" s="16">
        <f>'C５级比赛'!V43*2</f>
        <v>169.468979443902</v>
      </c>
      <c r="W43" s="16">
        <f>'C５级比赛'!W43*2</f>
        <v>136.239767788235</v>
      </c>
      <c r="X43" s="16">
        <f>'C５级比赛'!X43*2</f>
        <v>113.90537962623</v>
      </c>
      <c r="Y43" s="16">
        <f>'C５级比赛'!Y43*2</f>
        <v>97.8623684112676</v>
      </c>
      <c r="Z43" s="16">
        <f>'C５级比赛'!Z43*2</f>
        <v>85.7805945333333</v>
      </c>
      <c r="AA43" s="16">
        <f>'C５级比赛'!AA43*2</f>
        <v>76.3541555736264</v>
      </c>
      <c r="AB43" s="16">
        <f>'C５级比赛'!AB43*2</f>
        <v>69.482281572</v>
      </c>
      <c r="AC43" s="16">
        <f>'C５级比赛'!AC43*2</f>
        <v>57.4233732</v>
      </c>
      <c r="AD43" s="16">
        <f>'C５级比赛'!AD43*2</f>
        <v>47.909374606383</v>
      </c>
      <c r="AE43" s="16">
        <f>'C５级比赛'!AE43*2</f>
        <v>41.9578995</v>
      </c>
      <c r="AF43" s="25">
        <f>'C５级比赛'!AF43*2</f>
        <v>37.3216675110497</v>
      </c>
      <c r="AG43" s="25">
        <f>'C５级比赛'!AG43*2</f>
        <v>33.6080687537313</v>
      </c>
      <c r="AH43" s="25">
        <f>'C５级比赛'!AH43*2</f>
        <v>21.1601632694352</v>
      </c>
      <c r="AI43" s="25">
        <f>'C５级比赛'!AI43*2</f>
        <v>15.8833145738155</v>
      </c>
      <c r="AJ43" s="25">
        <f>'C５级比赛'!AJ43*2</f>
        <v>11.9425079215569</v>
      </c>
      <c r="AK43" s="25">
        <f>'C５级比赛'!AK43*2</f>
        <v>7.70997354327563</v>
      </c>
      <c r="AL43" s="25">
        <f>'C５级比赛'!AL43*2</f>
        <v>5.78440572527473</v>
      </c>
      <c r="AM43" s="25">
        <f>'C５级比赛'!AM43*2</f>
        <v>3.85755505063291</v>
      </c>
      <c r="AN43" s="25">
        <f>'C５级比赛'!AN43*2</f>
        <v>2.89364824137931</v>
      </c>
      <c r="AO43" s="25">
        <f>'C５级比赛'!AO43*2</f>
        <v>1.80079222112629</v>
      </c>
      <c r="AP43" s="39">
        <f>'C５级比赛'!AP43*2</f>
        <v>56132.8065496849</v>
      </c>
      <c r="AQ43" s="24"/>
      <c r="AR43" s="24"/>
      <c r="AS43" s="24"/>
      <c r="AT43" s="24"/>
      <c r="AU43" s="24"/>
      <c r="AV43" s="24"/>
      <c r="AW43" s="24"/>
      <c r="AX43" s="24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</row>
    <row r="44" s="2" customFormat="1" ht="21.6" spans="1:110">
      <c r="A44" s="19" t="s">
        <v>82</v>
      </c>
      <c r="B44" s="13">
        <f>'C５级比赛'!B44*2</f>
        <v>2219.57288355</v>
      </c>
      <c r="C44" s="13">
        <f>'C５级比赛'!C44*2</f>
        <v>2019.8113240305</v>
      </c>
      <c r="D44" s="13">
        <f>'C５级比赛'!D44*2</f>
        <v>1831.14762892875</v>
      </c>
      <c r="E44" s="13">
        <f>'C５级比赛'!E44*2</f>
        <v>1709.0711203335</v>
      </c>
      <c r="F44" s="13">
        <f>'C５级比赛'!F44*2</f>
        <v>1598.092476156</v>
      </c>
      <c r="G44" s="13">
        <f>'C５级比赛'!G44*2</f>
        <v>1331.74373013</v>
      </c>
      <c r="H44" s="13">
        <f>'C５级比赛'!H44*2</f>
        <v>1141.49462582571</v>
      </c>
      <c r="I44" s="13">
        <f>'C５级比赛'!I44*2</f>
        <v>998.8077975975</v>
      </c>
      <c r="J44" s="13">
        <f>'C５级比赛'!J44*2</f>
        <v>887.82915342</v>
      </c>
      <c r="K44" s="13">
        <f>'C５级比赛'!K44*2</f>
        <v>799.046238078</v>
      </c>
      <c r="L44" s="13">
        <f>'C５级比赛'!L44*2</f>
        <v>726.40567098</v>
      </c>
      <c r="M44" s="13">
        <f>'C５级比赛'!M44*2</f>
        <v>665.871865065</v>
      </c>
      <c r="N44" s="13">
        <f>'C５级比赛'!N44*2</f>
        <v>614.650952367692</v>
      </c>
      <c r="O44" s="13">
        <f>'C５级比赛'!O44*2</f>
        <v>570.747312912857</v>
      </c>
      <c r="P44" s="13">
        <f>'C５级比赛'!P44*2</f>
        <v>532.697492052</v>
      </c>
      <c r="Q44" s="13">
        <f>'C５级比赛'!Q44*2</f>
        <v>499.40389879875</v>
      </c>
      <c r="R44" s="13">
        <f>'C５级比赛'!R44*2</f>
        <v>443.91457671</v>
      </c>
      <c r="S44" s="13">
        <f>'C５级比赛'!S44*2</f>
        <v>399.523119039</v>
      </c>
      <c r="T44" s="13">
        <f>'C５级比赛'!T44*2</f>
        <v>307.325476183846</v>
      </c>
      <c r="U44" s="13">
        <f>'C５级比赛'!U44*2</f>
        <v>266.348746026</v>
      </c>
      <c r="V44" s="13">
        <f>'C５级比赛'!V44*2</f>
        <v>194.889326360488</v>
      </c>
      <c r="W44" s="13">
        <f>'C５级比赛'!W44*2</f>
        <v>156.675732956471</v>
      </c>
      <c r="X44" s="13">
        <f>'C５级比赛'!X44*2</f>
        <v>130.991186570164</v>
      </c>
      <c r="Y44" s="13">
        <f>'C５级比赛'!Y44*2</f>
        <v>112.541723672958</v>
      </c>
      <c r="Z44" s="13">
        <f>'C５级比赛'!Z44*2</f>
        <v>98.6476837133333</v>
      </c>
      <c r="AA44" s="13">
        <f>'C５级比赛'!AA44*2</f>
        <v>87.8072789096703</v>
      </c>
      <c r="AB44" s="13">
        <f>'C５级比赛'!AB44*2</f>
        <v>79.9046238078</v>
      </c>
      <c r="AC44" s="13">
        <f>'C５级比赛'!AC44*2</f>
        <v>66.03687918</v>
      </c>
      <c r="AD44" s="13">
        <f>'C５级比赛'!AD44*2</f>
        <v>56.6699459629787</v>
      </c>
      <c r="AE44" s="13">
        <f>'C５级比赛'!AE44*2</f>
        <v>49.6302011228571</v>
      </c>
      <c r="AF44" s="29">
        <f>'C５级比赛'!AF44*2</f>
        <v>44.1462009987845</v>
      </c>
      <c r="AG44" s="29">
        <f>'C５级比赛'!AG44*2</f>
        <v>39.7535441829851</v>
      </c>
      <c r="AH44" s="29">
        <f>'C５级比赛'!AH44*2</f>
        <v>26.5463866471096</v>
      </c>
      <c r="AI44" s="29">
        <f>'C５级比赛'!AI44*2</f>
        <v>19.9263401016958</v>
      </c>
      <c r="AJ44" s="29">
        <f>'C５级比赛'!AJ44*2</f>
        <v>15.9490267081437</v>
      </c>
      <c r="AK44" s="29">
        <f>'C５级比赛'!AK44*2</f>
        <v>10.6397634897204</v>
      </c>
      <c r="AL44" s="29">
        <f>'C５级比赛'!AL44*2</f>
        <v>7.76074434807692</v>
      </c>
      <c r="AM44" s="29">
        <f>'C５级比赛'!AM44*2</f>
        <v>5.17555302626582</v>
      </c>
      <c r="AN44" s="29">
        <f>'C５级比赛'!AN44*2</f>
        <v>3.88231139051724</v>
      </c>
      <c r="AO44" s="29">
        <f>'C５级比赛'!AO44*2</f>
        <v>2.58863881786904</v>
      </c>
      <c r="AP44" s="29">
        <f>'C５级比赛'!AP44*2</f>
        <v>1.94164086289053</v>
      </c>
      <c r="AQ44" s="24"/>
      <c r="AR44" s="24"/>
      <c r="AS44" s="24"/>
      <c r="AT44" s="24"/>
      <c r="AU44" s="24"/>
      <c r="AV44" s="24"/>
      <c r="AW44" s="24"/>
      <c r="AX44" s="24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</row>
    <row r="45" spans="1:50">
      <c r="A45" s="22" t="s">
        <v>83</v>
      </c>
      <c r="B45" s="16">
        <f>'C５级比赛'!B45*2</f>
        <v>2219.57288355</v>
      </c>
      <c r="C45" s="16">
        <f>'C５级比赛'!C45*2</f>
        <v>2019.8113240305</v>
      </c>
      <c r="D45" s="16">
        <f>'C５级比赛'!D45*2</f>
        <v>1831.14762892875</v>
      </c>
      <c r="E45" s="16">
        <f>'C５级比赛'!E45*2</f>
        <v>1709.0711203335</v>
      </c>
      <c r="F45" s="16">
        <f>'C５级比赛'!F45*2</f>
        <v>1598.092476156</v>
      </c>
      <c r="G45" s="16">
        <f>'C５级比赛'!G45*2</f>
        <v>1331.74373013</v>
      </c>
      <c r="H45" s="16">
        <f>'C５级比赛'!H45*2</f>
        <v>1141.49462582571</v>
      </c>
      <c r="I45" s="16">
        <f>'C５级比赛'!I45*2</f>
        <v>998.8077975975</v>
      </c>
      <c r="J45" s="16">
        <f>'C５级比赛'!J45*2</f>
        <v>887.82915342</v>
      </c>
      <c r="K45" s="16">
        <f>'C５级比赛'!K45*2</f>
        <v>799.046238078</v>
      </c>
      <c r="L45" s="16">
        <f>'C５级比赛'!L45*2</f>
        <v>726.40567098</v>
      </c>
      <c r="M45" s="16">
        <f>'C５级比赛'!M45*2</f>
        <v>665.871865065</v>
      </c>
      <c r="N45" s="16">
        <f>'C５级比赛'!N45*2</f>
        <v>614.650952367692</v>
      </c>
      <c r="O45" s="16">
        <f>'C５级比赛'!O45*2</f>
        <v>570.747312912857</v>
      </c>
      <c r="P45" s="16">
        <f>'C５级比赛'!P45*2</f>
        <v>532.697492052</v>
      </c>
      <c r="Q45" s="16">
        <f>'C５级比赛'!Q45*2</f>
        <v>499.40389879875</v>
      </c>
      <c r="R45" s="16">
        <f>'C５级比赛'!R45*2</f>
        <v>443.91457671</v>
      </c>
      <c r="S45" s="16">
        <f>'C５级比赛'!S45*2</f>
        <v>399.523119039</v>
      </c>
      <c r="T45" s="16">
        <f>'C５级比赛'!T45*2</f>
        <v>307.325476183846</v>
      </c>
      <c r="U45" s="16">
        <f>'C５级比赛'!U45*2</f>
        <v>266.348746026</v>
      </c>
      <c r="V45" s="16">
        <f>'C５级比赛'!V45*2</f>
        <v>194.889326360488</v>
      </c>
      <c r="W45" s="16">
        <f>'C５级比赛'!W45*2</f>
        <v>156.675732956471</v>
      </c>
      <c r="X45" s="16">
        <f>'C５级比赛'!X45*2</f>
        <v>130.991186570164</v>
      </c>
      <c r="Y45" s="16">
        <f>'C５级比赛'!Y45*2</f>
        <v>112.541723672958</v>
      </c>
      <c r="Z45" s="16">
        <f>'C５级比赛'!Z45*2</f>
        <v>98.6476837133333</v>
      </c>
      <c r="AA45" s="16">
        <f>'C５级比赛'!AA45*2</f>
        <v>87.8072789096703</v>
      </c>
      <c r="AB45" s="16">
        <f>'C５级比赛'!AB45*2</f>
        <v>79.9046238078</v>
      </c>
      <c r="AC45" s="16">
        <f>'C５级比赛'!AC45*2</f>
        <v>66.03687918</v>
      </c>
      <c r="AD45" s="16">
        <f>'C５级比赛'!AD45*2</f>
        <v>56.6699459629787</v>
      </c>
      <c r="AE45" s="16">
        <f>'C５级比赛'!AE45*2</f>
        <v>49.6302011228571</v>
      </c>
      <c r="AF45" s="25">
        <f>'C５级比赛'!AF45*2</f>
        <v>44.1462009987845</v>
      </c>
      <c r="AG45" s="25">
        <f>'C５级比赛'!AG45*2</f>
        <v>39.7535441829851</v>
      </c>
      <c r="AH45" s="25">
        <f>'C５级比赛'!AH45*2</f>
        <v>26.5463866471096</v>
      </c>
      <c r="AI45" s="25">
        <f>'C５级比赛'!AI45*2</f>
        <v>19.9263401016958</v>
      </c>
      <c r="AJ45" s="25">
        <f>'C５级比赛'!AJ45*2</f>
        <v>15.9490267081437</v>
      </c>
      <c r="AK45" s="25">
        <f>'C５级比赛'!AK45*2</f>
        <v>10.6397634897204</v>
      </c>
      <c r="AL45" s="25">
        <f>'C５级比赛'!AL45*2</f>
        <v>7.76074434807692</v>
      </c>
      <c r="AM45" s="25">
        <f>'C５级比赛'!AM45*2</f>
        <v>5.17555302626582</v>
      </c>
      <c r="AN45" s="25">
        <f>'C５级比赛'!AN45*2</f>
        <v>3.88231139051724</v>
      </c>
      <c r="AO45" s="25">
        <f>'C５级比赛'!AO45*2</f>
        <v>2.58863881786904</v>
      </c>
      <c r="AP45" s="25">
        <f>'C５级比赛'!AP45*2</f>
        <v>1.94164086289053</v>
      </c>
      <c r="AQ45" s="23"/>
      <c r="AR45" s="23"/>
      <c r="AS45" s="23"/>
      <c r="AT45" s="23"/>
      <c r="AU45" s="23"/>
      <c r="AV45" s="23"/>
      <c r="AW45" s="23"/>
      <c r="AX45" s="23"/>
    </row>
    <row r="46" s="5" customFormat="1" spans="1:50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</row>
    <row r="47" s="5" customFormat="1" spans="1:50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</row>
    <row r="48" s="5" customFormat="1" spans="1:50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</row>
    <row r="49" s="5" customFormat="1" spans="1:50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</row>
    <row r="50" s="5" customFormat="1" spans="1:50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</row>
    <row r="51" s="5" customFormat="1" spans="1:50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</row>
    <row r="52" s="5" customFormat="1" spans="1:50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</row>
    <row r="53" s="5" customFormat="1" spans="1:50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</row>
    <row r="54" s="5" customFormat="1" spans="1:50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</row>
    <row r="55" s="5" customFormat="1" spans="1:50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</row>
    <row r="56" s="5" customFormat="1" spans="1:50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</row>
    <row r="57" s="5" customFormat="1" spans="1:50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</row>
    <row r="58" s="5" customFormat="1" spans="1:50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</row>
    <row r="59" s="5" customFormat="1" spans="1:50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</row>
    <row r="60" s="5" customFormat="1" spans="1:50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</row>
    <row r="61" s="5" customFormat="1" spans="1:50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</row>
    <row r="62" s="5" customFormat="1" spans="1:50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</row>
    <row r="63" s="5" customFormat="1" spans="1:50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</row>
    <row r="64" s="5" customFormat="1" spans="1:50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</row>
    <row r="65" s="5" customFormat="1" spans="1:50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</row>
    <row r="66" s="5" customFormat="1" spans="1:50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</row>
    <row r="67" s="5" customFormat="1" spans="1:50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</row>
  </sheetData>
  <mergeCells count="1">
    <mergeCell ref="A1:H1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国家级比赛</vt:lpstr>
      <vt:lpstr>全国级比赛</vt:lpstr>
      <vt:lpstr>A级比赛</vt:lpstr>
      <vt:lpstr>Ｂ１级比赛  </vt:lpstr>
      <vt:lpstr>Ｂ２级比赛 </vt:lpstr>
      <vt:lpstr>C１级比赛 </vt:lpstr>
      <vt:lpstr>C２级比赛 </vt:lpstr>
      <vt:lpstr>C３级比赛 </vt:lpstr>
      <vt:lpstr>C４级比赛</vt:lpstr>
      <vt:lpstr>C５级比赛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2016-04-11T03:14:37Z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